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55" windowHeight="8520" tabRatio="496" activeTab="4"/>
  </bookViews>
  <sheets>
    <sheet name="FY2020" sheetId="1" r:id="rId1"/>
    <sheet name="1.0%" sheetId="2" r:id="rId2"/>
    <sheet name="1.5%" sheetId="3" r:id="rId3"/>
    <sheet name=" 2.0%" sheetId="4" r:id="rId4"/>
    <sheet name="2.5%" sheetId="5" r:id="rId5"/>
  </sheets>
  <definedNames>
    <definedName name="_xlnm.Print_Area" localSheetId="3">' 2.0%'!$A$1:$P$48</definedName>
    <definedName name="_xlnm.Print_Area" localSheetId="1">'1.0%'!$A$1:$P$48</definedName>
    <definedName name="_xlnm.Print_Area" localSheetId="2">'1.5%'!$A$1:$P$48</definedName>
    <definedName name="_xlnm.Print_Area" localSheetId="4">'2.5%'!$A$1:$P$48</definedName>
  </definedNames>
  <calcPr fullCalcOnLoad="1"/>
</workbook>
</file>

<file path=xl/sharedStrings.xml><?xml version="1.0" encoding="utf-8"?>
<sst xmlns="http://schemas.openxmlformats.org/spreadsheetml/2006/main" count="650" uniqueCount="124">
  <si>
    <t xml:space="preserve">Longevity </t>
  </si>
  <si>
    <t>Total</t>
  </si>
  <si>
    <t>Current</t>
  </si>
  <si>
    <t>Years</t>
  </si>
  <si>
    <t>Rate of</t>
  </si>
  <si>
    <t>Yearly</t>
  </si>
  <si>
    <t>%</t>
  </si>
  <si>
    <t>Medicare</t>
  </si>
  <si>
    <t>Unemployment</t>
  </si>
  <si>
    <t>Name</t>
  </si>
  <si>
    <t>Worked</t>
  </si>
  <si>
    <t>Pay</t>
  </si>
  <si>
    <t>or more</t>
  </si>
  <si>
    <t>Increase</t>
  </si>
  <si>
    <t>Deduction?</t>
  </si>
  <si>
    <t>Amount</t>
  </si>
  <si>
    <t>Insurance</t>
  </si>
  <si>
    <t>yes</t>
  </si>
  <si>
    <t>Steve Daby</t>
  </si>
  <si>
    <t>Jim Hicks</t>
  </si>
  <si>
    <t>no</t>
  </si>
  <si>
    <t>P/T Police Officers</t>
  </si>
  <si>
    <t>Dan Fleuriel</t>
  </si>
  <si>
    <t>WWTP Vacation Rep./OT</t>
  </si>
  <si>
    <t>Totals</t>
  </si>
  <si>
    <t>Police OT</t>
  </si>
  <si>
    <t>Police Holiday</t>
  </si>
  <si>
    <t>Total:</t>
  </si>
  <si>
    <t>Highway OT</t>
  </si>
  <si>
    <t>Highway</t>
  </si>
  <si>
    <t>Refuse</t>
  </si>
  <si>
    <t>Police</t>
  </si>
  <si>
    <t xml:space="preserve">     All Police</t>
  </si>
  <si>
    <t>WWTF</t>
  </si>
  <si>
    <t>Total Salaries</t>
  </si>
  <si>
    <t>Effective</t>
  </si>
  <si>
    <t xml:space="preserve">Highway OT </t>
  </si>
  <si>
    <t>Elected Officials</t>
  </si>
  <si>
    <t>Hourly</t>
  </si>
  <si>
    <t>Sherry Clark</t>
  </si>
  <si>
    <t>Library</t>
  </si>
  <si>
    <t>W/ Long.</t>
  </si>
  <si>
    <t>Various Appointees</t>
  </si>
  <si>
    <t>Police Special Shifts/Detail</t>
  </si>
  <si>
    <t>if 10 yrs.</t>
  </si>
  <si>
    <t>Recreation Summer Help</t>
  </si>
  <si>
    <t>Recreation</t>
  </si>
  <si>
    <t xml:space="preserve">Salaries </t>
  </si>
  <si>
    <t>General Gov.</t>
  </si>
  <si>
    <t>Winter Rds.</t>
  </si>
  <si>
    <t xml:space="preserve">     Assessors Clerk, Admin. Asst., 90% of T/C, 90% of TA</t>
  </si>
  <si>
    <t xml:space="preserve">     Chief Operator, Asst. Operator, 10% of T/C, 10% of Town Administrator</t>
  </si>
  <si>
    <t xml:space="preserve">              WWTF Share:</t>
  </si>
  <si>
    <t>Medicare:   Town Share:</t>
  </si>
  <si>
    <t>Base</t>
  </si>
  <si>
    <t>Academy Shift Coverage</t>
  </si>
  <si>
    <t xml:space="preserve">Base </t>
  </si>
  <si>
    <t xml:space="preserve">Rate of </t>
  </si>
  <si>
    <t>Hours</t>
  </si>
  <si>
    <t xml:space="preserve">Per </t>
  </si>
  <si>
    <t>Week</t>
  </si>
  <si>
    <t>Police OT/Holiday</t>
  </si>
  <si>
    <t>100/hrs</t>
  </si>
  <si>
    <t>Pam Guyette</t>
  </si>
  <si>
    <t xml:space="preserve">   </t>
  </si>
  <si>
    <t xml:space="preserve">     Recreation Area Supervisor and Summer Help</t>
  </si>
  <si>
    <t>Library Director</t>
  </si>
  <si>
    <t xml:space="preserve">     Library Director, Substitue Librarians</t>
  </si>
  <si>
    <t xml:space="preserve">     67% of three O/Ls, 67% of 90% Superintendent; plus portion of OT</t>
  </si>
  <si>
    <t xml:space="preserve">     33% of three O/Ls, 33% of 90% Superintendent; plus portion of OT and stipend</t>
  </si>
  <si>
    <t xml:space="preserve">     Transfer Station Attendants, 10% of Highway Superintendent</t>
  </si>
  <si>
    <t>WWTF Share:</t>
  </si>
  <si>
    <t>Police Details:</t>
  </si>
  <si>
    <t xml:space="preserve">Police Details: </t>
  </si>
  <si>
    <t xml:space="preserve">Transfer Station </t>
  </si>
  <si>
    <t>Kurt Gilmore</t>
  </si>
  <si>
    <t>Transfer Station</t>
  </si>
  <si>
    <t xml:space="preserve">     Library Director, Assistant/Substitue Librarians</t>
  </si>
  <si>
    <t>Library Assistant/Substitute</t>
  </si>
  <si>
    <t>2232/hrs</t>
  </si>
  <si>
    <t>2230 hrs</t>
  </si>
  <si>
    <t>100 hrs</t>
  </si>
  <si>
    <t xml:space="preserve">     Library Director, Assistant/Substitute Librarians</t>
  </si>
  <si>
    <t xml:space="preserve">     67% of four O/Ls, 67% of 90% Superintendent; plus portion of OT</t>
  </si>
  <si>
    <t xml:space="preserve">     33% of four O/Ls, 33% of 90% Superintendent; plus portion of OT and stipend</t>
  </si>
  <si>
    <t>No COLA</t>
  </si>
  <si>
    <t>Medicare:</t>
  </si>
  <si>
    <t>2230/hrs</t>
  </si>
  <si>
    <t xml:space="preserve">     Assessor, Admin. Asst., 90% of T/C, 90% of TA</t>
  </si>
  <si>
    <t>Stipends</t>
  </si>
  <si>
    <t>w/Long.</t>
  </si>
  <si>
    <t>stipends</t>
  </si>
  <si>
    <t>Recreation Area Mgmt</t>
  </si>
  <si>
    <t xml:space="preserve">Norm Daby </t>
  </si>
  <si>
    <t>Lisa Blackmer</t>
  </si>
  <si>
    <t>Library Asstant / Substitute</t>
  </si>
  <si>
    <t>Matthew Ahearn</t>
  </si>
  <si>
    <t>58 / 108</t>
  </si>
  <si>
    <t xml:space="preserve">      </t>
  </si>
  <si>
    <t xml:space="preserve">     Appointed Officials (Article 4)</t>
  </si>
  <si>
    <t xml:space="preserve">     Appointe Officials (Article 4)</t>
  </si>
  <si>
    <t xml:space="preserve">     Appointed Officals (Article 4)</t>
  </si>
  <si>
    <t>Appointed</t>
  </si>
  <si>
    <t>Elected</t>
  </si>
  <si>
    <t xml:space="preserve">Appointed </t>
  </si>
  <si>
    <t xml:space="preserve">     Elected Officials (Article 3)</t>
  </si>
  <si>
    <t xml:space="preserve">     Elected Officials  (Article 3)</t>
  </si>
  <si>
    <t>Total FY20</t>
  </si>
  <si>
    <t>FY20</t>
  </si>
  <si>
    <t>Larry Davis</t>
  </si>
  <si>
    <t>Increase/(Decrease) over FY19:</t>
  </si>
  <si>
    <t>2020 Unemployment:</t>
  </si>
  <si>
    <t>FY2020 Unemployment     Town:</t>
  </si>
  <si>
    <t>Total FY21</t>
  </si>
  <si>
    <t>FY21</t>
  </si>
  <si>
    <t>Michael Lovett</t>
  </si>
  <si>
    <t>Town Administrator (old rate, from contract)</t>
  </si>
  <si>
    <t xml:space="preserve">(Town Clerk - $38648.65)   + $1,000 longevity </t>
  </si>
  <si>
    <t xml:space="preserve">Town Clerk </t>
  </si>
  <si>
    <t>Town Clerk</t>
  </si>
  <si>
    <t xml:space="preserve">Town  Clerk </t>
  </si>
  <si>
    <t xml:space="preserve">(Town Clerk - $38,648.65) </t>
  </si>
  <si>
    <t>Increase/(Decrease) over FY20:</t>
  </si>
  <si>
    <t>Curtis Neill (after probationary)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</si>
</sst>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000000"/>
    <numFmt numFmtId="167" formatCode="[$-409]dddd\,\ mmmm\ d\,\ yyyy"/>
    <numFmt numFmtId="168" formatCode="[$-409]h:mm:ss\ AM/PM"/>
    <numFmt numFmtId="169" formatCode="#,##0.000"/>
    <numFmt numFmtId="170" formatCode="#,##0.0000"/>
    <numFmt numFmtId="17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9" fontId="1" fillId="33" borderId="13" xfId="0" applyNumberFormat="1" applyFont="1" applyFill="1" applyBorder="1" applyAlignment="1">
      <alignment horizontal="right"/>
    </xf>
    <xf numFmtId="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1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20" xfId="0" applyNumberFormat="1" applyBorder="1" applyAlignment="1">
      <alignment horizontal="left"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horizontal="right"/>
    </xf>
    <xf numFmtId="0" fontId="2" fillId="0" borderId="20" xfId="0" applyFont="1" applyBorder="1" applyAlignment="1">
      <alignment/>
    </xf>
    <xf numFmtId="10" fontId="2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4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/>
    </xf>
    <xf numFmtId="2" fontId="0" fillId="0" borderId="23" xfId="0" applyNumberForma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4" fontId="0" fillId="0" borderId="24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>
      <alignment horizontal="right"/>
    </xf>
    <xf numFmtId="1" fontId="0" fillId="0" borderId="25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1" fontId="0" fillId="0" borderId="2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4" fontId="3" fillId="0" borderId="26" xfId="0" applyNumberFormat="1" applyFont="1" applyBorder="1" applyAlignment="1">
      <alignment horizontal="right"/>
    </xf>
    <xf numFmtId="165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0" xfId="0" applyNumberFormat="1" applyFont="1" applyBorder="1" applyAlignment="1">
      <alignment horizontal="left"/>
    </xf>
    <xf numFmtId="165" fontId="0" fillId="0" borderId="2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8">
      <selection activeCell="F34" sqref="F34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6" width="11.7109375" style="0" customWidth="1"/>
    <col min="7" max="8" width="10.7109375" style="0" customWidth="1"/>
    <col min="9" max="11" width="11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2.7109375" style="0" customWidth="1"/>
  </cols>
  <sheetData>
    <row r="1" spans="1:16" ht="12.75">
      <c r="A1" s="71" t="s">
        <v>85</v>
      </c>
      <c r="B1" s="72"/>
      <c r="C1" s="73" t="s">
        <v>58</v>
      </c>
      <c r="D1" s="71" t="s">
        <v>107</v>
      </c>
      <c r="E1" s="71" t="s">
        <v>113</v>
      </c>
      <c r="F1" s="71" t="s">
        <v>113</v>
      </c>
      <c r="G1" s="71"/>
      <c r="H1" s="71"/>
      <c r="I1" s="71" t="s">
        <v>114</v>
      </c>
      <c r="J1" s="71" t="s">
        <v>114</v>
      </c>
      <c r="K1" s="71" t="s">
        <v>108</v>
      </c>
      <c r="L1" s="74"/>
      <c r="M1" s="74"/>
      <c r="N1" s="71"/>
      <c r="O1" s="75"/>
      <c r="P1" s="71"/>
    </row>
    <row r="2" spans="1:16" ht="12.75">
      <c r="A2" s="71"/>
      <c r="B2" s="72"/>
      <c r="C2" s="73" t="s">
        <v>10</v>
      </c>
      <c r="D2" s="72" t="s">
        <v>54</v>
      </c>
      <c r="E2" s="72" t="s">
        <v>56</v>
      </c>
      <c r="F2" s="72" t="s">
        <v>5</v>
      </c>
      <c r="G2" s="72" t="s">
        <v>0</v>
      </c>
      <c r="H2" s="72"/>
      <c r="I2" s="71" t="s">
        <v>1</v>
      </c>
      <c r="J2" s="71" t="s">
        <v>35</v>
      </c>
      <c r="K2" s="72" t="s">
        <v>2</v>
      </c>
      <c r="L2" s="71" t="s">
        <v>35</v>
      </c>
      <c r="M2" s="71" t="s">
        <v>38</v>
      </c>
      <c r="N2" s="71"/>
      <c r="O2" s="76"/>
      <c r="P2" s="77"/>
    </row>
    <row r="3" spans="1:16" ht="12.75">
      <c r="A3" s="71"/>
      <c r="B3" s="72" t="s">
        <v>3</v>
      </c>
      <c r="C3" s="73" t="s">
        <v>59</v>
      </c>
      <c r="D3" s="72" t="s">
        <v>4</v>
      </c>
      <c r="E3" s="72" t="s">
        <v>57</v>
      </c>
      <c r="F3" s="71" t="s">
        <v>54</v>
      </c>
      <c r="G3" s="72" t="s">
        <v>44</v>
      </c>
      <c r="H3" s="72" t="s">
        <v>89</v>
      </c>
      <c r="I3" s="71" t="s">
        <v>5</v>
      </c>
      <c r="J3" s="71" t="s">
        <v>4</v>
      </c>
      <c r="K3" s="72" t="s">
        <v>5</v>
      </c>
      <c r="L3" s="74" t="s">
        <v>13</v>
      </c>
      <c r="M3" s="74" t="s">
        <v>6</v>
      </c>
      <c r="N3" s="71" t="s">
        <v>7</v>
      </c>
      <c r="O3" s="71" t="s">
        <v>7</v>
      </c>
      <c r="P3" s="78" t="s">
        <v>8</v>
      </c>
    </row>
    <row r="4" spans="1:16" ht="12.75">
      <c r="A4" s="71" t="s">
        <v>9</v>
      </c>
      <c r="B4" s="72" t="s">
        <v>10</v>
      </c>
      <c r="C4" s="73" t="s">
        <v>60</v>
      </c>
      <c r="D4" s="72" t="s">
        <v>11</v>
      </c>
      <c r="E4" s="72" t="s">
        <v>11</v>
      </c>
      <c r="F4" s="72" t="s">
        <v>11</v>
      </c>
      <c r="G4" s="72" t="s">
        <v>12</v>
      </c>
      <c r="H4" s="72"/>
      <c r="I4" s="71" t="s">
        <v>11</v>
      </c>
      <c r="J4" s="71" t="s">
        <v>11</v>
      </c>
      <c r="K4" s="72" t="s">
        <v>11</v>
      </c>
      <c r="L4" s="71" t="s">
        <v>90</v>
      </c>
      <c r="M4" s="74" t="s">
        <v>13</v>
      </c>
      <c r="N4" s="71" t="s">
        <v>14</v>
      </c>
      <c r="O4" s="75" t="s">
        <v>15</v>
      </c>
      <c r="P4" s="71" t="s">
        <v>16</v>
      </c>
    </row>
    <row r="5" spans="1:17" ht="12.75">
      <c r="A5" s="77" t="s">
        <v>18</v>
      </c>
      <c r="B5" s="79">
        <v>23</v>
      </c>
      <c r="C5" s="80">
        <v>40</v>
      </c>
      <c r="D5" s="82">
        <v>28.01</v>
      </c>
      <c r="E5" s="82">
        <f aca="true" t="shared" si="0" ref="E5:E11">(D5*1)</f>
        <v>28.01</v>
      </c>
      <c r="F5" s="82">
        <f>E5*8*261</f>
        <v>58484.880000000005</v>
      </c>
      <c r="G5" s="82" t="str">
        <f aca="true" t="shared" si="1" ref="G5:G10">IF(B5&gt;=25,"1000",IF(B5&gt;=20,"750",IF(B5&gt;=15,"500",IF(B5&gt;=10,"250","0"))))</f>
        <v>750</v>
      </c>
      <c r="H5" s="83">
        <v>2000</v>
      </c>
      <c r="I5" s="82">
        <f aca="true" t="shared" si="2" ref="I5:I10">F5+G5+H5</f>
        <v>61234.880000000005</v>
      </c>
      <c r="J5" s="82">
        <f>I5/8/261</f>
        <v>29.32704980842912</v>
      </c>
      <c r="K5" s="82">
        <v>58416.6</v>
      </c>
      <c r="L5" s="170">
        <f aca="true" t="shared" si="3" ref="L5:L10">(J5-D5)/D5</f>
        <v>0.04702070005102171</v>
      </c>
      <c r="M5" s="170">
        <f aca="true" t="shared" si="4" ref="M5:M10">(E5-D5)/D5</f>
        <v>0</v>
      </c>
      <c r="N5" s="84" t="s">
        <v>17</v>
      </c>
      <c r="O5" s="156">
        <f>I5*0.0145</f>
        <v>887.9057600000001</v>
      </c>
      <c r="P5" s="156">
        <f aca="true" t="shared" si="5" ref="P5:P11">I5*0.001</f>
        <v>61.234880000000004</v>
      </c>
      <c r="Q5" s="11"/>
    </row>
    <row r="6" spans="1:17" ht="12.75">
      <c r="A6" s="89" t="s">
        <v>115</v>
      </c>
      <c r="B6" s="79">
        <v>1</v>
      </c>
      <c r="C6" s="80">
        <v>40</v>
      </c>
      <c r="D6" s="82">
        <v>19.48</v>
      </c>
      <c r="E6" s="82">
        <f t="shared" si="0"/>
        <v>19.48</v>
      </c>
      <c r="F6" s="82">
        <f>E6*8*261</f>
        <v>40674.24</v>
      </c>
      <c r="G6" s="82" t="str">
        <f t="shared" si="1"/>
        <v>0</v>
      </c>
      <c r="H6" s="83"/>
      <c r="I6" s="82">
        <f t="shared" si="2"/>
        <v>40674.24</v>
      </c>
      <c r="J6" s="82">
        <f>I6/8/261</f>
        <v>19.48</v>
      </c>
      <c r="K6" s="82">
        <f aca="true" t="shared" si="6" ref="K6:K11">I6</f>
        <v>40674.24</v>
      </c>
      <c r="L6" s="170">
        <f t="shared" si="3"/>
        <v>0</v>
      </c>
      <c r="M6" s="170">
        <f t="shared" si="4"/>
        <v>0</v>
      </c>
      <c r="N6" s="84" t="s">
        <v>17</v>
      </c>
      <c r="O6" s="156">
        <f aca="true" t="shared" si="7" ref="O6:O11">I6*0.0145</f>
        <v>589.77648</v>
      </c>
      <c r="P6" s="156">
        <f t="shared" si="5"/>
        <v>40.67424</v>
      </c>
      <c r="Q6" s="11"/>
    </row>
    <row r="7" spans="1:17" ht="12.75">
      <c r="A7" s="77" t="s">
        <v>109</v>
      </c>
      <c r="B7" s="79">
        <v>3</v>
      </c>
      <c r="C7" s="80">
        <v>40</v>
      </c>
      <c r="D7" s="82">
        <v>19.48</v>
      </c>
      <c r="E7" s="82">
        <f t="shared" si="0"/>
        <v>19.48</v>
      </c>
      <c r="F7" s="82">
        <f>E7*8*261</f>
        <v>40674.24</v>
      </c>
      <c r="G7" s="82" t="str">
        <f t="shared" si="1"/>
        <v>0</v>
      </c>
      <c r="H7" s="83"/>
      <c r="I7" s="82">
        <f t="shared" si="2"/>
        <v>40674.24</v>
      </c>
      <c r="J7" s="82">
        <f>I7/8/261</f>
        <v>19.48</v>
      </c>
      <c r="K7" s="82">
        <f t="shared" si="6"/>
        <v>40674.24</v>
      </c>
      <c r="L7" s="170">
        <f t="shared" si="3"/>
        <v>0</v>
      </c>
      <c r="M7" s="170">
        <f t="shared" si="4"/>
        <v>0</v>
      </c>
      <c r="N7" s="84" t="s">
        <v>17</v>
      </c>
      <c r="O7" s="156">
        <f t="shared" si="7"/>
        <v>589.77648</v>
      </c>
      <c r="P7" s="156">
        <f t="shared" si="5"/>
        <v>40.67424</v>
      </c>
      <c r="Q7" s="11"/>
    </row>
    <row r="8" spans="1:17" ht="12.75">
      <c r="A8" s="77" t="s">
        <v>93</v>
      </c>
      <c r="B8" s="79">
        <v>4</v>
      </c>
      <c r="C8" s="80">
        <v>40</v>
      </c>
      <c r="D8" s="82">
        <v>20.5</v>
      </c>
      <c r="E8" s="82">
        <f t="shared" si="0"/>
        <v>20.5</v>
      </c>
      <c r="F8" s="82">
        <f>E8*8*261</f>
        <v>42804</v>
      </c>
      <c r="G8" s="82" t="str">
        <f t="shared" si="1"/>
        <v>0</v>
      </c>
      <c r="H8" s="83"/>
      <c r="I8" s="82">
        <f t="shared" si="2"/>
        <v>42804</v>
      </c>
      <c r="J8" s="82">
        <f>I8/8/261</f>
        <v>20.5</v>
      </c>
      <c r="K8" s="82">
        <f t="shared" si="6"/>
        <v>42804</v>
      </c>
      <c r="L8" s="170">
        <f t="shared" si="3"/>
        <v>0</v>
      </c>
      <c r="M8" s="170">
        <f t="shared" si="4"/>
        <v>0</v>
      </c>
      <c r="N8" s="84" t="s">
        <v>17</v>
      </c>
      <c r="O8" s="156">
        <f t="shared" si="7"/>
        <v>620.658</v>
      </c>
      <c r="P8" s="156">
        <f t="shared" si="5"/>
        <v>42.804</v>
      </c>
      <c r="Q8" s="11"/>
    </row>
    <row r="9" spans="1:17" ht="12.75">
      <c r="A9" s="89" t="s">
        <v>123</v>
      </c>
      <c r="B9" s="79">
        <v>1</v>
      </c>
      <c r="C9" s="80">
        <v>40</v>
      </c>
      <c r="D9" s="82">
        <v>19.48</v>
      </c>
      <c r="E9" s="82">
        <f t="shared" si="0"/>
        <v>19.48</v>
      </c>
      <c r="F9" s="82">
        <f>E9*8*261</f>
        <v>40674.24</v>
      </c>
      <c r="G9" s="82" t="str">
        <f t="shared" si="1"/>
        <v>0</v>
      </c>
      <c r="H9" s="83"/>
      <c r="I9" s="82">
        <f t="shared" si="2"/>
        <v>40674.24</v>
      </c>
      <c r="J9" s="82">
        <f>I9/8/261</f>
        <v>19.48</v>
      </c>
      <c r="K9" s="82">
        <f t="shared" si="6"/>
        <v>40674.24</v>
      </c>
      <c r="L9" s="170">
        <f t="shared" si="3"/>
        <v>0</v>
      </c>
      <c r="M9" s="170">
        <f t="shared" si="4"/>
        <v>0</v>
      </c>
      <c r="N9" s="84" t="s">
        <v>17</v>
      </c>
      <c r="O9" s="156">
        <f t="shared" si="7"/>
        <v>589.77648</v>
      </c>
      <c r="P9" s="156">
        <f t="shared" si="5"/>
        <v>40.67424</v>
      </c>
      <c r="Q9" s="11"/>
    </row>
    <row r="10" spans="1:17" ht="12.75">
      <c r="A10" s="77" t="s">
        <v>76</v>
      </c>
      <c r="B10" s="79"/>
      <c r="C10" s="80">
        <v>18</v>
      </c>
      <c r="D10" s="82">
        <v>15.68</v>
      </c>
      <c r="E10" s="82">
        <f t="shared" si="0"/>
        <v>15.68</v>
      </c>
      <c r="F10" s="82">
        <f>E10*18*52</f>
        <v>14676.48</v>
      </c>
      <c r="G10" s="82" t="str">
        <f t="shared" si="1"/>
        <v>0</v>
      </c>
      <c r="H10" s="86"/>
      <c r="I10" s="82">
        <f t="shared" si="2"/>
        <v>14676.48</v>
      </c>
      <c r="J10" s="82">
        <f>I10/18/52</f>
        <v>15.68</v>
      </c>
      <c r="K10" s="82">
        <f t="shared" si="6"/>
        <v>14676.48</v>
      </c>
      <c r="L10" s="170">
        <f t="shared" si="3"/>
        <v>0</v>
      </c>
      <c r="M10" s="170">
        <f t="shared" si="4"/>
        <v>0</v>
      </c>
      <c r="N10" s="84" t="s">
        <v>17</v>
      </c>
      <c r="O10" s="156">
        <f t="shared" si="7"/>
        <v>212.80896</v>
      </c>
      <c r="P10" s="156">
        <f t="shared" si="5"/>
        <v>14.67648</v>
      </c>
      <c r="Q10" s="11"/>
    </row>
    <row r="11" spans="1:17" ht="12.75">
      <c r="A11" s="77" t="s">
        <v>36</v>
      </c>
      <c r="B11" s="79"/>
      <c r="C11" s="80"/>
      <c r="D11" s="82"/>
      <c r="E11" s="82">
        <f t="shared" si="0"/>
        <v>0</v>
      </c>
      <c r="F11" s="82">
        <f>I11</f>
        <v>21427.4736</v>
      </c>
      <c r="G11" s="82"/>
      <c r="H11" s="86"/>
      <c r="I11" s="93">
        <f>SUM((I6+I7+I8+I9)*0.08)+((I6+I7+I8+I9)*0.05)</f>
        <v>21427.4736</v>
      </c>
      <c r="J11" s="82"/>
      <c r="K11" s="82">
        <f t="shared" si="6"/>
        <v>21427.4736</v>
      </c>
      <c r="L11" s="170"/>
      <c r="M11" s="170"/>
      <c r="N11" s="84" t="s">
        <v>17</v>
      </c>
      <c r="O11" s="156">
        <f t="shared" si="7"/>
        <v>310.6983672</v>
      </c>
      <c r="P11" s="156">
        <f t="shared" si="5"/>
        <v>21.427473600000003</v>
      </c>
      <c r="Q11" s="11"/>
    </row>
    <row r="12" spans="1:17" ht="12.75">
      <c r="A12" s="77"/>
      <c r="B12" s="88"/>
      <c r="C12" s="80"/>
      <c r="D12" s="82"/>
      <c r="E12" s="82"/>
      <c r="F12" s="82"/>
      <c r="G12" s="82"/>
      <c r="H12" s="84"/>
      <c r="I12" s="82"/>
      <c r="J12" s="84"/>
      <c r="K12" s="82"/>
      <c r="L12" s="170"/>
      <c r="M12" s="170"/>
      <c r="N12" s="84"/>
      <c r="O12" s="156"/>
      <c r="P12" s="156"/>
      <c r="Q12" s="11"/>
    </row>
    <row r="13" spans="1:17" ht="12.75">
      <c r="A13" s="77" t="s">
        <v>19</v>
      </c>
      <c r="B13" s="79">
        <v>36</v>
      </c>
      <c r="C13" s="80">
        <v>40</v>
      </c>
      <c r="D13" s="82">
        <v>31.67</v>
      </c>
      <c r="E13" s="82">
        <f>D13</f>
        <v>31.67</v>
      </c>
      <c r="F13" s="82">
        <f>E13*8*261</f>
        <v>66126.96</v>
      </c>
      <c r="G13" s="82" t="str">
        <f>IF(B13&gt;=25,"1000",IF(B13&gt;=20,"750",IF(B13&gt;=15,"500",IF(B13&gt;=10,"250","0"))))</f>
        <v>1000</v>
      </c>
      <c r="H13" s="83"/>
      <c r="I13" s="82">
        <f>F13+G13+H13</f>
        <v>67126.96</v>
      </c>
      <c r="J13" s="82">
        <f>I13/8/261</f>
        <v>32.148927203065135</v>
      </c>
      <c r="K13" s="82">
        <f>I13</f>
        <v>67126.96</v>
      </c>
      <c r="L13" s="170">
        <f>(J13-D13)/D13</f>
        <v>0.015122425104677399</v>
      </c>
      <c r="M13" s="170">
        <f>(E13-D13)/D13</f>
        <v>0</v>
      </c>
      <c r="N13" s="84" t="s">
        <v>20</v>
      </c>
      <c r="O13" s="156">
        <v>0</v>
      </c>
      <c r="P13" s="156">
        <f aca="true" t="shared" si="8" ref="P13:P21">I13*0.001</f>
        <v>67.12696000000001</v>
      </c>
      <c r="Q13" s="11"/>
    </row>
    <row r="14" spans="1:17" ht="12.75">
      <c r="A14" s="77" t="s">
        <v>75</v>
      </c>
      <c r="B14" s="79">
        <v>7</v>
      </c>
      <c r="C14" s="80">
        <v>40</v>
      </c>
      <c r="D14" s="82">
        <v>25.85</v>
      </c>
      <c r="E14" s="82">
        <f>D14</f>
        <v>25.85</v>
      </c>
      <c r="F14" s="82">
        <f>E14*8*261</f>
        <v>53974.8</v>
      </c>
      <c r="G14" s="82" t="str">
        <f>IF(B14&gt;=25,"1000",IF(B14&gt;=20,"750",IF(B14&gt;=15,"500",IF(B14&gt;=10,"250","0"))))</f>
        <v>0</v>
      </c>
      <c r="H14" s="83"/>
      <c r="I14" s="82">
        <f>F14+G14+H14</f>
        <v>53974.8</v>
      </c>
      <c r="J14" s="82">
        <f>I14/8/261</f>
        <v>25.85</v>
      </c>
      <c r="K14" s="82">
        <f>I14</f>
        <v>53974.8</v>
      </c>
      <c r="L14" s="170">
        <f>(J14-D14)/D14</f>
        <v>0</v>
      </c>
      <c r="M14" s="170">
        <f>(E14-D14)/D14</f>
        <v>0</v>
      </c>
      <c r="N14" s="84" t="s">
        <v>17</v>
      </c>
      <c r="O14" s="156">
        <f>I14*0.0145</f>
        <v>782.6346000000001</v>
      </c>
      <c r="P14" s="156">
        <f t="shared" si="8"/>
        <v>53.9748</v>
      </c>
      <c r="Q14" s="11"/>
    </row>
    <row r="15" spans="1:17" ht="12.75">
      <c r="A15" s="89" t="s">
        <v>21</v>
      </c>
      <c r="B15" s="90"/>
      <c r="C15" s="80" t="s">
        <v>80</v>
      </c>
      <c r="D15" s="82">
        <v>18.46</v>
      </c>
      <c r="E15" s="82">
        <f>(D15*1)</f>
        <v>18.46</v>
      </c>
      <c r="F15" s="82">
        <v>39212.89</v>
      </c>
      <c r="G15" s="82" t="str">
        <f>IF(B15&gt;=25,"1000",IF(B15&gt;=20,"750",IF(B15&gt;=15,"500",IF(B15&gt;=10,"250","0"))))</f>
        <v>0</v>
      </c>
      <c r="H15" s="86"/>
      <c r="I15" s="82">
        <f>F15+G15+H15</f>
        <v>39212.89</v>
      </c>
      <c r="J15" s="82">
        <f>E15</f>
        <v>18.46</v>
      </c>
      <c r="K15" s="82">
        <f>I15</f>
        <v>39212.89</v>
      </c>
      <c r="L15" s="170">
        <f>(J15-D15)/D15</f>
        <v>0</v>
      </c>
      <c r="M15" s="170">
        <f>(E15-D15)/D15</f>
        <v>0</v>
      </c>
      <c r="N15" s="84" t="s">
        <v>17</v>
      </c>
      <c r="O15" s="156">
        <f>I15*0.0145</f>
        <v>568.586905</v>
      </c>
      <c r="P15" s="156">
        <f t="shared" si="8"/>
        <v>39.21289</v>
      </c>
      <c r="Q15" s="11"/>
    </row>
    <row r="16" spans="1:17" ht="12.75">
      <c r="A16" s="89" t="s">
        <v>61</v>
      </c>
      <c r="B16" s="90"/>
      <c r="C16" s="80" t="s">
        <v>81</v>
      </c>
      <c r="D16" s="82"/>
      <c r="E16" s="82"/>
      <c r="F16" s="82">
        <f>B38</f>
        <v>6706.605593869732</v>
      </c>
      <c r="G16" s="82" t="str">
        <f>IF(B16&gt;=25,"1000",IF(B16&gt;=20,"750",IF(B16&gt;=15,"500",IF(B16&gt;=10,"250","0"))))</f>
        <v>0</v>
      </c>
      <c r="H16" s="86"/>
      <c r="I16" s="82">
        <f>F16</f>
        <v>6706.605593869732</v>
      </c>
      <c r="J16" s="82"/>
      <c r="K16" s="82">
        <f>I16</f>
        <v>6706.605593869732</v>
      </c>
      <c r="L16" s="170">
        <v>0</v>
      </c>
      <c r="M16" s="170">
        <v>0</v>
      </c>
      <c r="N16" s="91" t="s">
        <v>17</v>
      </c>
      <c r="O16" s="156">
        <f>I16*0.0145</f>
        <v>97.24578111111111</v>
      </c>
      <c r="P16" s="156">
        <f t="shared" si="8"/>
        <v>6.706605593869732</v>
      </c>
      <c r="Q16" s="11"/>
    </row>
    <row r="17" spans="1:17" ht="12.75">
      <c r="A17" s="89" t="s">
        <v>55</v>
      </c>
      <c r="B17" s="90"/>
      <c r="C17" s="80"/>
      <c r="D17" s="82"/>
      <c r="E17" s="82"/>
      <c r="F17" s="82">
        <v>0</v>
      </c>
      <c r="G17" s="82"/>
      <c r="H17" s="86"/>
      <c r="I17" s="82">
        <f>F17</f>
        <v>0</v>
      </c>
      <c r="J17" s="82"/>
      <c r="K17" s="82">
        <v>0</v>
      </c>
      <c r="L17" s="170"/>
      <c r="M17" s="170">
        <v>0</v>
      </c>
      <c r="N17" s="91"/>
      <c r="O17" s="156">
        <v>0</v>
      </c>
      <c r="P17" s="156">
        <f t="shared" si="8"/>
        <v>0</v>
      </c>
      <c r="Q17" s="11"/>
    </row>
    <row r="18" spans="1:17" ht="12.75">
      <c r="A18" s="89"/>
      <c r="B18" s="90"/>
      <c r="C18" s="80"/>
      <c r="D18" s="82"/>
      <c r="E18" s="82"/>
      <c r="F18" s="82"/>
      <c r="G18" s="82"/>
      <c r="H18" s="86"/>
      <c r="I18" s="82"/>
      <c r="J18" s="82"/>
      <c r="K18" s="82"/>
      <c r="L18" s="170"/>
      <c r="M18" s="170"/>
      <c r="N18" s="91"/>
      <c r="O18" s="156"/>
      <c r="P18" s="156">
        <f t="shared" si="8"/>
        <v>0</v>
      </c>
      <c r="Q18" s="11"/>
    </row>
    <row r="19" spans="1:17" ht="12.75">
      <c r="A19" s="77" t="s">
        <v>22</v>
      </c>
      <c r="B19" s="79">
        <v>38</v>
      </c>
      <c r="C19" s="80">
        <v>40</v>
      </c>
      <c r="D19" s="82">
        <v>28.01</v>
      </c>
      <c r="E19" s="82">
        <f aca="true" t="shared" si="9" ref="E19:E26">(D19*1)</f>
        <v>28.01</v>
      </c>
      <c r="F19" s="82">
        <f>E19*8*261</f>
        <v>58484.880000000005</v>
      </c>
      <c r="G19" s="83" t="str">
        <f>IF(B19&gt;=25,"1000",IF(B19&gt;=20,"750",IF(B19&gt;=15,"500",IF(B19&gt;=10,"250","0"))))</f>
        <v>1000</v>
      </c>
      <c r="H19" s="83">
        <v>1500</v>
      </c>
      <c r="I19" s="82">
        <f>F19+G19+H19</f>
        <v>60984.880000000005</v>
      </c>
      <c r="J19" s="82">
        <f>I19/8/261</f>
        <v>29.20731800766284</v>
      </c>
      <c r="K19" s="82">
        <f>I19</f>
        <v>60984.880000000005</v>
      </c>
      <c r="L19" s="170">
        <f>(J19-D19)/D19</f>
        <v>0.04274609095547435</v>
      </c>
      <c r="M19" s="170">
        <f>(E19-D19)/D19</f>
        <v>0</v>
      </c>
      <c r="N19" s="84" t="s">
        <v>20</v>
      </c>
      <c r="O19" s="156">
        <v>0</v>
      </c>
      <c r="P19" s="156">
        <f t="shared" si="8"/>
        <v>60.984880000000004</v>
      </c>
      <c r="Q19" s="11"/>
    </row>
    <row r="20" spans="1:17" ht="12.75">
      <c r="A20" s="77" t="s">
        <v>96</v>
      </c>
      <c r="B20" s="79">
        <v>3</v>
      </c>
      <c r="C20" s="80">
        <v>40</v>
      </c>
      <c r="D20" s="82">
        <v>21.85</v>
      </c>
      <c r="E20" s="82">
        <f t="shared" si="9"/>
        <v>21.85</v>
      </c>
      <c r="F20" s="82">
        <f>E20*8*261</f>
        <v>45622.8</v>
      </c>
      <c r="G20" s="82" t="str">
        <f>IF(B20&gt;=25,"1000",IF(B20&gt;=20,"750",IF(B20&gt;=15,"500",IF(B20&gt;=10,"250","0"))))</f>
        <v>0</v>
      </c>
      <c r="H20" s="83">
        <v>1000</v>
      </c>
      <c r="I20" s="82">
        <f>F20+G20+H20</f>
        <v>46622.8</v>
      </c>
      <c r="J20" s="82">
        <f>I20/8/261</f>
        <v>22.328927203065135</v>
      </c>
      <c r="K20" s="82">
        <f>I20</f>
        <v>46622.8</v>
      </c>
      <c r="L20" s="170">
        <f>(J20-D20)/D20</f>
        <v>0.02191886512883905</v>
      </c>
      <c r="M20" s="170">
        <f>(E20-D20)/D20</f>
        <v>0</v>
      </c>
      <c r="N20" s="84" t="s">
        <v>17</v>
      </c>
      <c r="O20" s="156">
        <f>I20*0.0145</f>
        <v>676.0306</v>
      </c>
      <c r="P20" s="156">
        <f t="shared" si="8"/>
        <v>46.622800000000005</v>
      </c>
      <c r="Q20" s="11"/>
    </row>
    <row r="21" spans="1:17" ht="12.75">
      <c r="A21" t="s">
        <v>23</v>
      </c>
      <c r="B21" s="79"/>
      <c r="C21" s="80"/>
      <c r="D21" s="82"/>
      <c r="E21" s="82"/>
      <c r="F21" s="82">
        <f>(182*J19)+(182*J20)</f>
        <v>9379.59662835249</v>
      </c>
      <c r="G21" s="82" t="str">
        <f>IF(B21&gt;=25,"1000",IF(B21&gt;=20,"750",IF(B21&gt;=15,"500",IF(B21&gt;=10,"250","0"))))</f>
        <v>0</v>
      </c>
      <c r="H21" s="83"/>
      <c r="I21" s="82">
        <f>F21</f>
        <v>9379.59662835249</v>
      </c>
      <c r="J21" s="82"/>
      <c r="K21" s="82">
        <f>I21</f>
        <v>9379.59662835249</v>
      </c>
      <c r="L21" s="170"/>
      <c r="M21" s="170"/>
      <c r="N21" s="84" t="s">
        <v>17</v>
      </c>
      <c r="O21" s="156">
        <f>I21*0.0145</f>
        <v>136.00415111111113</v>
      </c>
      <c r="P21" s="156">
        <f t="shared" si="8"/>
        <v>9.379596628352491</v>
      </c>
      <c r="Q21" s="11"/>
    </row>
    <row r="22" spans="1:17" ht="12.75">
      <c r="A22" s="77"/>
      <c r="B22" s="79"/>
      <c r="C22" s="80"/>
      <c r="D22" s="82"/>
      <c r="E22" s="82"/>
      <c r="F22" s="82"/>
      <c r="G22" s="82"/>
      <c r="H22" s="83"/>
      <c r="I22" s="82"/>
      <c r="J22" s="82"/>
      <c r="K22" s="82"/>
      <c r="L22" s="170"/>
      <c r="M22" s="170"/>
      <c r="N22" s="84"/>
      <c r="O22" s="156"/>
      <c r="P22" s="156"/>
      <c r="Q22" s="11"/>
    </row>
    <row r="23" spans="1:17" ht="12.75">
      <c r="A23" s="89" t="s">
        <v>116</v>
      </c>
      <c r="B23" s="79"/>
      <c r="C23" s="80">
        <v>40</v>
      </c>
      <c r="D23" s="82">
        <f>68000/261/8</f>
        <v>32.56704980842912</v>
      </c>
      <c r="E23" s="82">
        <f>71000/261/8</f>
        <v>34.00383141762452</v>
      </c>
      <c r="F23" s="82">
        <v>71000</v>
      </c>
      <c r="G23" s="83">
        <v>0</v>
      </c>
      <c r="H23" s="83"/>
      <c r="I23" s="82">
        <v>71000</v>
      </c>
      <c r="J23" s="82">
        <f>E23</f>
        <v>34.00383141762452</v>
      </c>
      <c r="K23" s="82">
        <v>68000</v>
      </c>
      <c r="L23" s="170">
        <f>(J23-D23)/D23</f>
        <v>0.04411764705882345</v>
      </c>
      <c r="M23" s="170">
        <f>(E23-D23)/D23</f>
        <v>0.04411764705882345</v>
      </c>
      <c r="N23" s="84" t="s">
        <v>17</v>
      </c>
      <c r="O23" s="156">
        <f>I23*0.0145</f>
        <v>1029.5</v>
      </c>
      <c r="P23" s="156">
        <f aca="true" t="shared" si="10" ref="P23:P33">I23*0.001</f>
        <v>71</v>
      </c>
      <c r="Q23" s="11"/>
    </row>
    <row r="24" spans="1:17" ht="12.75">
      <c r="A24" s="77" t="s">
        <v>94</v>
      </c>
      <c r="B24" s="79">
        <v>4</v>
      </c>
      <c r="C24" s="153">
        <v>37.5</v>
      </c>
      <c r="D24" s="82">
        <v>24.77</v>
      </c>
      <c r="E24" s="82">
        <f t="shared" si="9"/>
        <v>24.77</v>
      </c>
      <c r="F24" s="82">
        <f>E24*7.5*261</f>
        <v>48487.275</v>
      </c>
      <c r="G24" s="82" t="str">
        <f>IF(B24&gt;=25,"1000",IF(B24&gt;=20,"750",IF(B24&gt;=15,"500",IF(B24&gt;=10,"250","0"))))</f>
        <v>0</v>
      </c>
      <c r="H24" s="83"/>
      <c r="I24" s="82">
        <f aca="true" t="shared" si="11" ref="I24:I29">F24+G24+H24</f>
        <v>48487.275</v>
      </c>
      <c r="J24" s="82">
        <f>I24/7.5/261</f>
        <v>24.77</v>
      </c>
      <c r="K24" s="82">
        <f>I24</f>
        <v>48487.275</v>
      </c>
      <c r="L24" s="170">
        <f>(J24-D24)/D24</f>
        <v>0</v>
      </c>
      <c r="M24" s="170">
        <f>(E24-D24)/D24</f>
        <v>0</v>
      </c>
      <c r="N24" s="84" t="s">
        <v>17</v>
      </c>
      <c r="O24" s="156">
        <f aca="true" t="shared" si="12" ref="O24:O33">I24*0.0145</f>
        <v>703.0654875</v>
      </c>
      <c r="P24" s="156">
        <f t="shared" si="10"/>
        <v>48.487275000000004</v>
      </c>
      <c r="Q24" s="11"/>
    </row>
    <row r="25" spans="1:17" ht="12.75">
      <c r="A25" s="77" t="s">
        <v>63</v>
      </c>
      <c r="B25" s="79">
        <v>12</v>
      </c>
      <c r="C25" s="80">
        <v>28</v>
      </c>
      <c r="D25" s="82">
        <v>22.41</v>
      </c>
      <c r="E25" s="82">
        <f>(D25*1)</f>
        <v>22.41</v>
      </c>
      <c r="F25" s="82">
        <f>E25*5.6*261</f>
        <v>32754.456</v>
      </c>
      <c r="G25" s="82" t="str">
        <f>IF(B25&gt;=25,"1000",IF(B25&gt;=20,"750",IF(B25&gt;=15,"500",IF(B25&gt;=10,"250","0"))))</f>
        <v>250</v>
      </c>
      <c r="H25" s="83"/>
      <c r="I25" s="82">
        <f t="shared" si="11"/>
        <v>33004.456</v>
      </c>
      <c r="J25" s="82">
        <f>I25/5.6/261</f>
        <v>22.58104542966612</v>
      </c>
      <c r="K25" s="82">
        <f>F25</f>
        <v>32754.456</v>
      </c>
      <c r="L25" s="170">
        <f>(J25-D25)/D25</f>
        <v>0.00763254929344574</v>
      </c>
      <c r="M25" s="170">
        <f>(E25-D25)/D25</f>
        <v>0</v>
      </c>
      <c r="N25" s="84" t="s">
        <v>17</v>
      </c>
      <c r="O25" s="156">
        <f t="shared" si="12"/>
        <v>478.564612</v>
      </c>
      <c r="P25" s="156">
        <f t="shared" si="10"/>
        <v>33.004456</v>
      </c>
      <c r="Q25" s="11"/>
    </row>
    <row r="26" spans="1:17" ht="12.75">
      <c r="A26" s="89" t="s">
        <v>39</v>
      </c>
      <c r="B26" s="90">
        <v>18</v>
      </c>
      <c r="C26" s="80">
        <v>40</v>
      </c>
      <c r="D26" s="82">
        <v>20.17</v>
      </c>
      <c r="E26" s="82">
        <f t="shared" si="9"/>
        <v>20.17</v>
      </c>
      <c r="F26" s="82">
        <f>E26*8*261</f>
        <v>42114.96000000001</v>
      </c>
      <c r="G26" s="82" t="str">
        <f>IF(B26&gt;=25,"1000",IF(B26&gt;=20,"750",IF(B26&gt;=15,"500",IF(B26&gt;=10,"250","0"))))</f>
        <v>500</v>
      </c>
      <c r="H26" s="86"/>
      <c r="I26" s="82">
        <f t="shared" si="11"/>
        <v>42614.96000000001</v>
      </c>
      <c r="J26" s="82">
        <f>I26/8/261</f>
        <v>20.409463601532572</v>
      </c>
      <c r="K26" s="93">
        <f>I26</f>
        <v>42614.96000000001</v>
      </c>
      <c r="L26" s="170">
        <f>(J26-D26)/D26</f>
        <v>0.011872265817182457</v>
      </c>
      <c r="M26" s="170">
        <f>(E26-D26)/D26</f>
        <v>0</v>
      </c>
      <c r="N26" s="91" t="s">
        <v>17</v>
      </c>
      <c r="O26" s="156">
        <f t="shared" si="12"/>
        <v>617.9169200000001</v>
      </c>
      <c r="P26" s="156">
        <f t="shared" si="10"/>
        <v>42.61496000000001</v>
      </c>
      <c r="Q26" s="11"/>
    </row>
    <row r="27" spans="1:17" ht="12.75">
      <c r="A27" s="94" t="s">
        <v>92</v>
      </c>
      <c r="B27" s="90"/>
      <c r="C27" s="95" t="s">
        <v>91</v>
      </c>
      <c r="D27" s="82">
        <v>7500</v>
      </c>
      <c r="E27" s="82"/>
      <c r="F27" s="93">
        <v>7500</v>
      </c>
      <c r="G27" s="82" t="str">
        <f>IF(B27&gt;=25,"1000",IF(B27&gt;=20,"750",IF(B27&gt;=15,"500",IF(B27&gt;=10,"250","0"))))</f>
        <v>0</v>
      </c>
      <c r="H27" s="86"/>
      <c r="I27" s="82">
        <f t="shared" si="11"/>
        <v>7500</v>
      </c>
      <c r="J27" s="82"/>
      <c r="K27" s="93">
        <v>7500</v>
      </c>
      <c r="L27" s="170"/>
      <c r="M27" s="170">
        <f>(E27-D27)/D27</f>
        <v>-1</v>
      </c>
      <c r="N27" s="91" t="s">
        <v>17</v>
      </c>
      <c r="O27" s="156">
        <f t="shared" si="12"/>
        <v>108.75</v>
      </c>
      <c r="P27" s="156">
        <f t="shared" si="10"/>
        <v>7.5</v>
      </c>
      <c r="Q27" s="11"/>
    </row>
    <row r="28" spans="1:17" ht="12.75">
      <c r="A28" s="94" t="s">
        <v>45</v>
      </c>
      <c r="B28" s="90"/>
      <c r="C28" s="95"/>
      <c r="D28" s="82"/>
      <c r="E28" s="82">
        <v>0</v>
      </c>
      <c r="F28" s="93"/>
      <c r="G28" s="82"/>
      <c r="H28" s="86"/>
      <c r="I28" s="82">
        <f t="shared" si="11"/>
        <v>0</v>
      </c>
      <c r="J28" s="82"/>
      <c r="K28" s="155"/>
      <c r="L28" s="170"/>
      <c r="M28" s="170"/>
      <c r="N28" s="91" t="s">
        <v>17</v>
      </c>
      <c r="O28" s="156">
        <f t="shared" si="12"/>
        <v>0</v>
      </c>
      <c r="P28" s="156">
        <f t="shared" si="10"/>
        <v>0</v>
      </c>
      <c r="Q28" s="11"/>
    </row>
    <row r="29" spans="1:17" ht="12.75">
      <c r="A29" s="89" t="s">
        <v>66</v>
      </c>
      <c r="B29" s="90">
        <v>2</v>
      </c>
      <c r="C29" s="180">
        <v>18.5</v>
      </c>
      <c r="D29" s="93">
        <v>19.48</v>
      </c>
      <c r="E29" s="82">
        <f>(D29*1)</f>
        <v>19.48</v>
      </c>
      <c r="F29" s="82">
        <f>E29*3.7*261</f>
        <v>18811.836000000003</v>
      </c>
      <c r="G29" s="82" t="str">
        <f>IF(B29&gt;=25,"1000",IF(B29&gt;=20,"750",IF(B29&gt;=15,"500",IF(B29&gt;=10,"250","0"))))</f>
        <v>0</v>
      </c>
      <c r="H29" s="86"/>
      <c r="I29" s="82">
        <f t="shared" si="11"/>
        <v>18811.836000000003</v>
      </c>
      <c r="J29" s="82">
        <f>I29/3.7/261</f>
        <v>19.480000000000004</v>
      </c>
      <c r="K29" s="93">
        <f>F29</f>
        <v>18811.836000000003</v>
      </c>
      <c r="L29" s="170">
        <f>(J29-D29)/D29</f>
        <v>1.8237749891173002E-16</v>
      </c>
      <c r="M29" s="170">
        <f>(E29-D29)/D29</f>
        <v>0</v>
      </c>
      <c r="N29" s="91" t="s">
        <v>17</v>
      </c>
      <c r="O29" s="156">
        <f t="shared" si="12"/>
        <v>272.77162200000004</v>
      </c>
      <c r="P29" s="156">
        <f t="shared" si="10"/>
        <v>18.811836000000003</v>
      </c>
      <c r="Q29" s="11"/>
    </row>
    <row r="30" spans="1:17" ht="12.75">
      <c r="A30" s="89" t="s">
        <v>78</v>
      </c>
      <c r="B30" s="90"/>
      <c r="C30" s="90" t="s">
        <v>97</v>
      </c>
      <c r="D30" s="93">
        <v>13.66</v>
      </c>
      <c r="E30" s="82">
        <f>(D30*1)</f>
        <v>13.66</v>
      </c>
      <c r="F30" s="82">
        <v>2158</v>
      </c>
      <c r="G30" s="93"/>
      <c r="H30" s="86"/>
      <c r="I30" s="93">
        <f>F30</f>
        <v>2158</v>
      </c>
      <c r="J30" s="93">
        <f>E30</f>
        <v>13.66</v>
      </c>
      <c r="K30" s="93">
        <f>I30</f>
        <v>2158</v>
      </c>
      <c r="L30" s="170">
        <f>(J30-D30)/D30</f>
        <v>0</v>
      </c>
      <c r="M30" s="170">
        <f>(E30-D30)/D30</f>
        <v>0</v>
      </c>
      <c r="N30" s="91" t="s">
        <v>17</v>
      </c>
      <c r="O30" s="156">
        <f t="shared" si="12"/>
        <v>31.291</v>
      </c>
      <c r="P30" s="156">
        <f t="shared" si="10"/>
        <v>2.158</v>
      </c>
      <c r="Q30" s="11"/>
    </row>
    <row r="31" spans="1:17" ht="12.75">
      <c r="A31" s="94" t="s">
        <v>42</v>
      </c>
      <c r="B31" s="90"/>
      <c r="C31" s="73"/>
      <c r="D31" s="72"/>
      <c r="E31" s="72"/>
      <c r="F31" s="93">
        <v>3981</v>
      </c>
      <c r="G31" s="93"/>
      <c r="H31" s="86"/>
      <c r="I31" s="93">
        <f>F31</f>
        <v>3981</v>
      </c>
      <c r="J31" s="93"/>
      <c r="K31" s="93">
        <f>I31</f>
        <v>3981</v>
      </c>
      <c r="L31" s="170"/>
      <c r="M31" s="171"/>
      <c r="N31" s="91" t="s">
        <v>17</v>
      </c>
      <c r="O31" s="156">
        <f t="shared" si="12"/>
        <v>57.724500000000006</v>
      </c>
      <c r="P31" s="156">
        <f t="shared" si="10"/>
        <v>3.981</v>
      </c>
      <c r="Q31" s="11"/>
    </row>
    <row r="32" spans="1:17" ht="12.75">
      <c r="A32" s="94" t="s">
        <v>43</v>
      </c>
      <c r="B32" s="90"/>
      <c r="C32" s="73"/>
      <c r="D32" s="72"/>
      <c r="E32" s="72"/>
      <c r="F32" s="93">
        <v>55000</v>
      </c>
      <c r="G32" s="93"/>
      <c r="H32" s="86"/>
      <c r="I32" s="93">
        <f>F32</f>
        <v>55000</v>
      </c>
      <c r="J32" s="93"/>
      <c r="K32" s="93">
        <f>I32</f>
        <v>55000</v>
      </c>
      <c r="L32" s="170"/>
      <c r="M32" s="171"/>
      <c r="N32" s="91" t="s">
        <v>17</v>
      </c>
      <c r="O32" s="156">
        <f t="shared" si="12"/>
        <v>797.5</v>
      </c>
      <c r="P32" s="156">
        <f t="shared" si="10"/>
        <v>55</v>
      </c>
      <c r="Q32" s="11"/>
    </row>
    <row r="33" spans="1:17" ht="13.5" thickBot="1">
      <c r="A33" s="113" t="s">
        <v>37</v>
      </c>
      <c r="B33" s="114"/>
      <c r="C33" s="115"/>
      <c r="D33" s="172"/>
      <c r="E33" s="172"/>
      <c r="F33" s="116">
        <v>51406</v>
      </c>
      <c r="G33" s="116"/>
      <c r="H33" s="117"/>
      <c r="I33" s="116">
        <f>F33</f>
        <v>51406</v>
      </c>
      <c r="J33" s="116"/>
      <c r="K33" s="116">
        <f>I33</f>
        <v>51406</v>
      </c>
      <c r="L33" s="173"/>
      <c r="M33" s="174"/>
      <c r="N33" s="118" t="s">
        <v>17</v>
      </c>
      <c r="O33" s="157">
        <f t="shared" si="12"/>
        <v>745.3870000000001</v>
      </c>
      <c r="P33" s="157">
        <f t="shared" si="10"/>
        <v>51.406</v>
      </c>
      <c r="Q33" s="11"/>
    </row>
    <row r="34" spans="1:17" ht="12.75">
      <c r="A34" s="107" t="s">
        <v>24</v>
      </c>
      <c r="B34" s="108"/>
      <c r="C34" s="109"/>
      <c r="D34" s="154"/>
      <c r="E34" s="154"/>
      <c r="F34" s="154">
        <f>SUM(F5:F33)-F32</f>
        <v>817137.6128222223</v>
      </c>
      <c r="G34" s="110"/>
      <c r="H34" s="110"/>
      <c r="I34" s="154">
        <f>SUM(I5:I33)-I32</f>
        <v>825137.6128222223</v>
      </c>
      <c r="J34" s="154"/>
      <c r="K34" s="154">
        <f>SUM(K5:K33)-K32</f>
        <v>819069.3328222223</v>
      </c>
      <c r="L34" s="175"/>
      <c r="M34" s="175"/>
      <c r="N34" s="112"/>
      <c r="O34" s="154">
        <f>SUM(O5:O33)</f>
        <v>10904.373705922222</v>
      </c>
      <c r="P34" s="154">
        <f>SUM(P5:P33)</f>
        <v>880.1376128222221</v>
      </c>
      <c r="Q34" s="11"/>
    </row>
    <row r="35" spans="2:16" ht="13.5" thickBot="1">
      <c r="B35" s="9"/>
      <c r="C35" s="47"/>
      <c r="G35" s="8"/>
      <c r="H35" s="11"/>
      <c r="L35" s="10"/>
      <c r="M35" s="10"/>
      <c r="N35" s="11"/>
      <c r="O35" s="4"/>
      <c r="P35" s="51"/>
    </row>
    <row r="36" spans="1:16" ht="12.75">
      <c r="A36" s="77" t="s">
        <v>25</v>
      </c>
      <c r="B36" s="81">
        <f>J14*1.5*100</f>
        <v>3877.5000000000005</v>
      </c>
      <c r="C36" s="97" t="s">
        <v>47</v>
      </c>
      <c r="D36" s="98" t="s">
        <v>108</v>
      </c>
      <c r="E36" s="98"/>
      <c r="F36" s="99"/>
      <c r="G36" s="82"/>
      <c r="H36" s="84"/>
      <c r="I36" s="77"/>
      <c r="J36" s="77"/>
      <c r="K36" s="77"/>
      <c r="L36" s="123"/>
      <c r="M36" s="52"/>
      <c r="N36" s="53"/>
      <c r="O36" s="54" t="s">
        <v>110</v>
      </c>
      <c r="P36" s="55">
        <f>I34-K34</f>
        <v>6068.280000000028</v>
      </c>
    </row>
    <row r="37" spans="1:16" ht="13.5" thickBot="1">
      <c r="A37" s="77" t="s">
        <v>26</v>
      </c>
      <c r="B37" s="141">
        <f>(J13)*8*11</f>
        <v>2829.105593869732</v>
      </c>
      <c r="C37" s="80" t="s">
        <v>48</v>
      </c>
      <c r="D37" s="88">
        <f>I26+I25+(0.9*I24)+(0.9*I23)</f>
        <v>183157.9635</v>
      </c>
      <c r="E37" s="88"/>
      <c r="F37" s="100" t="s">
        <v>50</v>
      </c>
      <c r="G37" s="82"/>
      <c r="H37" s="84"/>
      <c r="I37" s="77"/>
      <c r="J37" s="77"/>
      <c r="K37" s="77"/>
      <c r="L37" s="123"/>
      <c r="M37" s="56"/>
      <c r="N37" s="61" t="s">
        <v>111</v>
      </c>
      <c r="O37" s="44"/>
      <c r="P37" s="64">
        <f>P34-P38-P39</f>
        <v>708.1503361938696</v>
      </c>
    </row>
    <row r="38" spans="1:16" ht="12.75">
      <c r="A38" s="138" t="s">
        <v>1</v>
      </c>
      <c r="B38" s="140">
        <f>SUM(B36:B37)</f>
        <v>6706.605593869732</v>
      </c>
      <c r="C38" s="139" t="s">
        <v>29</v>
      </c>
      <c r="D38" s="88">
        <f>(0.67*((0.9*I5)+I6+I7+I8+I9))+((I6+I7+I8+I9)*0.05)</f>
        <v>155599.87104000003</v>
      </c>
      <c r="E38" s="88"/>
      <c r="F38" s="102" t="s">
        <v>83</v>
      </c>
      <c r="G38" s="82"/>
      <c r="H38" s="84"/>
      <c r="I38" s="77"/>
      <c r="J38" s="77"/>
      <c r="K38" s="77"/>
      <c r="L38" s="124"/>
      <c r="M38" s="58" t="s">
        <v>64</v>
      </c>
      <c r="N38" s="182" t="s">
        <v>71</v>
      </c>
      <c r="O38" s="183"/>
      <c r="P38" s="129">
        <f>P19+P20+P21</f>
        <v>116.9872766283525</v>
      </c>
    </row>
    <row r="39" spans="1:16" ht="12.75">
      <c r="A39" s="87"/>
      <c r="B39" s="108"/>
      <c r="C39" s="80" t="s">
        <v>49</v>
      </c>
      <c r="D39" s="88">
        <f>((0.9*I5)*0.33)+(0.33*(I6+I7+I8+I9))+((I6+I7+I8+I9)*0.08)</f>
        <v>85765.71456000001</v>
      </c>
      <c r="E39" s="88"/>
      <c r="F39" s="102" t="s">
        <v>84</v>
      </c>
      <c r="G39" s="82"/>
      <c r="H39" s="84"/>
      <c r="I39" s="77"/>
      <c r="J39" s="77"/>
      <c r="K39" s="77"/>
      <c r="L39" s="123"/>
      <c r="M39" s="58"/>
      <c r="N39" s="182" t="s">
        <v>72</v>
      </c>
      <c r="O39" s="182"/>
      <c r="P39" s="131">
        <f>P32</f>
        <v>55</v>
      </c>
    </row>
    <row r="40" spans="1:16" ht="12.75">
      <c r="A40" s="96"/>
      <c r="B40" s="81"/>
      <c r="C40" s="80" t="s">
        <v>30</v>
      </c>
      <c r="D40" s="88">
        <f>I10+(0.1*I5)</f>
        <v>20799.968</v>
      </c>
      <c r="E40" s="88"/>
      <c r="F40" s="100" t="s">
        <v>70</v>
      </c>
      <c r="G40" s="82"/>
      <c r="H40" s="84"/>
      <c r="I40" s="77"/>
      <c r="J40" s="77"/>
      <c r="K40" s="77"/>
      <c r="L40" s="123"/>
      <c r="M40" s="56"/>
      <c r="N40" s="44"/>
      <c r="O40" s="130" t="s">
        <v>27</v>
      </c>
      <c r="P40" s="132">
        <f>SUM(P37:P39)</f>
        <v>880.1376128222221</v>
      </c>
    </row>
    <row r="41" spans="1:16" ht="12.75">
      <c r="A41" s="96"/>
      <c r="B41" s="81"/>
      <c r="C41" s="80" t="s">
        <v>31</v>
      </c>
      <c r="D41" s="88">
        <f>I13+I14+I15+I16</f>
        <v>167021.25559386975</v>
      </c>
      <c r="E41" s="88"/>
      <c r="F41" s="100" t="s">
        <v>32</v>
      </c>
      <c r="G41" s="82"/>
      <c r="H41" s="84"/>
      <c r="I41" s="77"/>
      <c r="J41" s="77"/>
      <c r="K41" s="77"/>
      <c r="L41" s="123"/>
      <c r="M41" s="60"/>
      <c r="N41" s="61"/>
      <c r="O41" s="44"/>
      <c r="P41" s="120"/>
    </row>
    <row r="42" spans="1:16" ht="12.75">
      <c r="A42" s="101" t="s">
        <v>28</v>
      </c>
      <c r="B42" s="81">
        <f>(I6+I7+I8+I9)*0.13</f>
        <v>21427.4736</v>
      </c>
      <c r="C42" s="80" t="s">
        <v>33</v>
      </c>
      <c r="D42" s="92">
        <f>I19+I20+I21+(0.1*I23)+(0.1*I24)</f>
        <v>128936.00412835249</v>
      </c>
      <c r="E42" s="92"/>
      <c r="F42" s="100" t="s">
        <v>51</v>
      </c>
      <c r="G42" s="82"/>
      <c r="H42" s="84"/>
      <c r="I42" s="77"/>
      <c r="J42" s="77"/>
      <c r="K42" s="77"/>
      <c r="L42" s="123"/>
      <c r="M42" s="63"/>
      <c r="N42" s="184" t="s">
        <v>86</v>
      </c>
      <c r="O42" s="184"/>
      <c r="P42" s="64">
        <f>O34-P43-P44</f>
        <v>9294.838954811112</v>
      </c>
    </row>
    <row r="43" spans="1:16" ht="12.75">
      <c r="A43" s="101"/>
      <c r="B43" s="152"/>
      <c r="C43" s="80" t="s">
        <v>46</v>
      </c>
      <c r="D43" s="92">
        <f>I27+I28</f>
        <v>7500</v>
      </c>
      <c r="E43" s="92"/>
      <c r="F43" s="100" t="s">
        <v>65</v>
      </c>
      <c r="G43" s="82"/>
      <c r="H43" s="84"/>
      <c r="I43" s="77"/>
      <c r="J43" s="77"/>
      <c r="K43" s="77"/>
      <c r="L43" s="123"/>
      <c r="M43" s="63"/>
      <c r="N43" s="185" t="s">
        <v>71</v>
      </c>
      <c r="O43" s="185"/>
      <c r="P43" s="64">
        <f>O19+O20+O21</f>
        <v>812.0347511111112</v>
      </c>
    </row>
    <row r="44" spans="1:16" ht="12.75">
      <c r="A44" s="138"/>
      <c r="B44" s="81"/>
      <c r="C44" s="139" t="s">
        <v>40</v>
      </c>
      <c r="D44" s="88">
        <f>I29+I30</f>
        <v>20969.836000000003</v>
      </c>
      <c r="E44" s="88"/>
      <c r="F44" s="100" t="s">
        <v>82</v>
      </c>
      <c r="G44" s="82"/>
      <c r="H44" s="84"/>
      <c r="I44" s="77"/>
      <c r="J44" s="77"/>
      <c r="K44" s="77"/>
      <c r="L44" s="123"/>
      <c r="M44" s="60"/>
      <c r="N44" s="44"/>
      <c r="O44" s="44" t="s">
        <v>72</v>
      </c>
      <c r="P44" s="64">
        <f>O32</f>
        <v>797.5</v>
      </c>
    </row>
    <row r="45" spans="1:16" ht="12.75">
      <c r="A45" s="77"/>
      <c r="B45" s="111"/>
      <c r="C45" s="80" t="s">
        <v>102</v>
      </c>
      <c r="D45" s="88">
        <f>I31</f>
        <v>3981</v>
      </c>
      <c r="E45" s="88"/>
      <c r="F45" s="100" t="s">
        <v>101</v>
      </c>
      <c r="G45" s="82"/>
      <c r="H45" s="82"/>
      <c r="I45" s="103"/>
      <c r="J45" s="103"/>
      <c r="K45" s="104"/>
      <c r="L45" s="125"/>
      <c r="M45" s="60"/>
      <c r="N45" s="61"/>
      <c r="O45" s="44" t="s">
        <v>27</v>
      </c>
      <c r="P45" s="134">
        <f>SUM(P42:P44)</f>
        <v>10904.373705922222</v>
      </c>
    </row>
    <row r="46" spans="1:16" ht="13.5" thickBot="1">
      <c r="A46" s="77"/>
      <c r="B46" s="88"/>
      <c r="C46" s="143" t="s">
        <v>103</v>
      </c>
      <c r="D46" s="142">
        <f>I33</f>
        <v>51406</v>
      </c>
      <c r="E46" s="81"/>
      <c r="F46" s="179" t="s">
        <v>105</v>
      </c>
      <c r="G46" s="82"/>
      <c r="H46" s="82"/>
      <c r="I46" s="81" t="s">
        <v>98</v>
      </c>
      <c r="J46" s="81"/>
      <c r="K46" s="85"/>
      <c r="L46" s="119"/>
      <c r="M46" s="65"/>
      <c r="N46" s="66"/>
      <c r="O46" s="66"/>
      <c r="P46" s="67"/>
    </row>
    <row r="47" spans="1:16" ht="13.5" thickBot="1">
      <c r="A47" s="105"/>
      <c r="B47" s="105"/>
      <c r="C47" s="109" t="s">
        <v>34</v>
      </c>
      <c r="D47" s="108">
        <f>SUM(D37:D46)</f>
        <v>825137.6128222223</v>
      </c>
      <c r="E47" s="81"/>
      <c r="F47" s="81"/>
      <c r="G47" s="93" t="s">
        <v>117</v>
      </c>
      <c r="H47" s="98"/>
      <c r="I47" s="99"/>
      <c r="J47" s="99"/>
      <c r="K47" s="106"/>
      <c r="L47" s="126"/>
      <c r="M47" s="127"/>
      <c r="N47" s="121"/>
      <c r="O47" s="122"/>
      <c r="P47" s="128"/>
    </row>
    <row r="48" spans="2:16" ht="12.75">
      <c r="B48" s="9"/>
      <c r="C48" s="47"/>
      <c r="D48" s="7"/>
      <c r="E48" s="7"/>
      <c r="F48" s="7"/>
      <c r="G48" s="8"/>
      <c r="H48" s="8"/>
      <c r="I48" s="7"/>
      <c r="J48" s="7"/>
      <c r="K48" s="51"/>
      <c r="L48" s="20"/>
      <c r="M48" s="20"/>
      <c r="N48" s="8"/>
      <c r="O48" s="27"/>
      <c r="P48" s="9"/>
    </row>
  </sheetData>
  <sheetProtection/>
  <mergeCells count="4">
    <mergeCell ref="N38:O38"/>
    <mergeCell ref="N39:O39"/>
    <mergeCell ref="N42:O42"/>
    <mergeCell ref="N43:O43"/>
  </mergeCells>
  <printOptions horizontalCentered="1" verticalCentered="1"/>
  <pageMargins left="0.25" right="0" top="0.65" bottom="0.25" header="0.5" footer="0.5"/>
  <pageSetup horizontalDpi="600" verticalDpi="600" orientation="landscape" paperSize="5" scale="90" r:id="rId1"/>
  <headerFooter alignWithMargins="0">
    <oddHeader>&amp;LSalary FY 2020 Level&amp;RCONFIDENTIAL -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0">
      <selection activeCell="F29" sqref="F29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6" width="11.7109375" style="0" customWidth="1"/>
    <col min="7" max="8" width="10.7109375" style="0" customWidth="1"/>
    <col min="9" max="11" width="11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2.7109375" style="0" customWidth="1"/>
  </cols>
  <sheetData>
    <row r="1" spans="1:16" ht="12.75">
      <c r="A1" s="135">
        <v>0.01</v>
      </c>
      <c r="B1" s="2"/>
      <c r="C1" s="45" t="s">
        <v>58</v>
      </c>
      <c r="D1" s="1" t="s">
        <v>107</v>
      </c>
      <c r="E1" s="1" t="s">
        <v>113</v>
      </c>
      <c r="F1" s="1" t="s">
        <v>113</v>
      </c>
      <c r="G1" s="1"/>
      <c r="H1" s="1"/>
      <c r="I1" s="1" t="s">
        <v>114</v>
      </c>
      <c r="J1" s="1" t="s">
        <v>114</v>
      </c>
      <c r="K1" s="1" t="s">
        <v>108</v>
      </c>
      <c r="L1" s="3"/>
      <c r="M1" s="3"/>
      <c r="N1" s="1"/>
      <c r="O1" s="34"/>
      <c r="P1" s="1"/>
    </row>
    <row r="2" spans="1:15" ht="12.75">
      <c r="A2" s="1"/>
      <c r="B2" s="2"/>
      <c r="C2" s="45" t="s">
        <v>10</v>
      </c>
      <c r="D2" s="2" t="s">
        <v>54</v>
      </c>
      <c r="E2" s="2" t="s">
        <v>56</v>
      </c>
      <c r="F2" s="2" t="s">
        <v>5</v>
      </c>
      <c r="G2" s="2" t="s">
        <v>0</v>
      </c>
      <c r="H2" s="2"/>
      <c r="I2" s="1" t="s">
        <v>1</v>
      </c>
      <c r="J2" s="1" t="s">
        <v>35</v>
      </c>
      <c r="K2" s="2" t="s">
        <v>2</v>
      </c>
      <c r="L2" s="1" t="s">
        <v>35</v>
      </c>
      <c r="M2" s="1" t="s">
        <v>38</v>
      </c>
      <c r="N2" s="1"/>
      <c r="O2" s="4"/>
    </row>
    <row r="3" spans="1:16" ht="12.75">
      <c r="A3" s="1"/>
      <c r="B3" s="2" t="s">
        <v>3</v>
      </c>
      <c r="C3" s="45" t="s">
        <v>59</v>
      </c>
      <c r="D3" s="2" t="s">
        <v>4</v>
      </c>
      <c r="E3" s="2" t="s">
        <v>57</v>
      </c>
      <c r="F3" s="1" t="s">
        <v>54</v>
      </c>
      <c r="G3" s="2" t="s">
        <v>44</v>
      </c>
      <c r="H3" s="2" t="s">
        <v>89</v>
      </c>
      <c r="I3" s="1" t="s">
        <v>5</v>
      </c>
      <c r="J3" s="1" t="s">
        <v>4</v>
      </c>
      <c r="K3" s="2" t="s">
        <v>5</v>
      </c>
      <c r="L3" s="3" t="s">
        <v>13</v>
      </c>
      <c r="M3" s="3" t="s">
        <v>6</v>
      </c>
      <c r="N3" s="1" t="s">
        <v>7</v>
      </c>
      <c r="O3" s="1" t="s">
        <v>7</v>
      </c>
      <c r="P3" s="40" t="s">
        <v>8</v>
      </c>
    </row>
    <row r="4" spans="1:16" ht="12.75">
      <c r="A4" s="36" t="s">
        <v>9</v>
      </c>
      <c r="B4" s="37" t="s">
        <v>10</v>
      </c>
      <c r="C4" s="46" t="s">
        <v>60</v>
      </c>
      <c r="D4" s="37" t="s">
        <v>11</v>
      </c>
      <c r="E4" s="37" t="s">
        <v>11</v>
      </c>
      <c r="F4" s="37" t="s">
        <v>11</v>
      </c>
      <c r="G4" s="37" t="s">
        <v>12</v>
      </c>
      <c r="H4" s="37"/>
      <c r="I4" s="36" t="s">
        <v>11</v>
      </c>
      <c r="J4" s="36" t="s">
        <v>11</v>
      </c>
      <c r="K4" s="37" t="s">
        <v>11</v>
      </c>
      <c r="L4" s="36" t="s">
        <v>41</v>
      </c>
      <c r="M4" s="38" t="s">
        <v>13</v>
      </c>
      <c r="N4" s="36" t="s">
        <v>14</v>
      </c>
      <c r="O4" s="39" t="s">
        <v>15</v>
      </c>
      <c r="P4" s="36" t="s">
        <v>16</v>
      </c>
    </row>
    <row r="5" spans="1:16" ht="12.75">
      <c r="A5" t="str">
        <f>'FY2020'!A5</f>
        <v>Steve Daby</v>
      </c>
      <c r="B5" s="6">
        <f>'FY2020'!B5</f>
        <v>23</v>
      </c>
      <c r="C5" s="47">
        <v>40</v>
      </c>
      <c r="D5" s="8">
        <f>'FY2020'!D5</f>
        <v>28.01</v>
      </c>
      <c r="E5" s="8">
        <f aca="true" t="shared" si="0" ref="E5:E10">(D5*1)*0.01+D5</f>
        <v>28.290100000000002</v>
      </c>
      <c r="F5" s="8">
        <f>E5*8*261</f>
        <v>59069.728800000004</v>
      </c>
      <c r="G5" s="8" t="str">
        <f aca="true" t="shared" si="1" ref="G5:G10">IF(B5&gt;=25,"1000",IF(B5&gt;=20,"750",IF(B5&gt;=15,"500",IF(B5&gt;=10,"250","0"))))</f>
        <v>750</v>
      </c>
      <c r="H5" s="41">
        <v>2000</v>
      </c>
      <c r="I5" s="8">
        <f aca="true" t="shared" si="2" ref="I5:I10">F5+G5+H5</f>
        <v>61819.728800000004</v>
      </c>
      <c r="J5" s="8">
        <f>I5/8/261</f>
        <v>29.60714980842912</v>
      </c>
      <c r="K5" s="8">
        <f>'FY2020'!K5</f>
        <v>58416.6</v>
      </c>
      <c r="L5" s="158">
        <f aca="true" t="shared" si="3" ref="L5:L10">(J5-D5)/D5</f>
        <v>0.05702070005102174</v>
      </c>
      <c r="M5" s="158">
        <f aca="true" t="shared" si="4" ref="M5:M10">(E5-D5)/D5</f>
        <v>0.010000000000000031</v>
      </c>
      <c r="N5" s="11" t="s">
        <v>17</v>
      </c>
      <c r="O5" s="159">
        <f>I5*0.0145</f>
        <v>896.3860676000002</v>
      </c>
      <c r="P5" s="159">
        <f>I5*0.001</f>
        <v>61.81972880000001</v>
      </c>
    </row>
    <row r="6" spans="1:16" ht="12.75">
      <c r="A6" t="str">
        <f>'FY2020'!A6</f>
        <v>Michael Lovett</v>
      </c>
      <c r="B6" s="6">
        <f>'FY2020'!B6</f>
        <v>1</v>
      </c>
      <c r="C6" s="47">
        <v>40</v>
      </c>
      <c r="D6" s="8">
        <f>'FY2020'!D6</f>
        <v>19.48</v>
      </c>
      <c r="E6" s="8">
        <f t="shared" si="0"/>
        <v>19.6748</v>
      </c>
      <c r="F6" s="8">
        <f>E6*8*261</f>
        <v>41080.9824</v>
      </c>
      <c r="G6" s="8" t="str">
        <f t="shared" si="1"/>
        <v>0</v>
      </c>
      <c r="H6" s="41"/>
      <c r="I6" s="8">
        <f t="shared" si="2"/>
        <v>41080.9824</v>
      </c>
      <c r="J6" s="8">
        <f>I6/8/261</f>
        <v>19.6748</v>
      </c>
      <c r="K6" s="8">
        <f>'FY2020'!K6</f>
        <v>40674.24</v>
      </c>
      <c r="L6" s="158">
        <f t="shared" si="3"/>
        <v>0.010000000000000038</v>
      </c>
      <c r="M6" s="158">
        <f t="shared" si="4"/>
        <v>0.010000000000000038</v>
      </c>
      <c r="N6" s="11" t="s">
        <v>17</v>
      </c>
      <c r="O6" s="159">
        <f aca="true" t="shared" si="5" ref="O6:O17">I6*0.0145</f>
        <v>595.6742448</v>
      </c>
      <c r="P6" s="159">
        <f aca="true" t="shared" si="6" ref="P6:P11">I6*0.001</f>
        <v>41.0809824</v>
      </c>
    </row>
    <row r="7" spans="1:16" ht="12.75">
      <c r="A7" t="str">
        <f>'FY2020'!A7</f>
        <v>Larry Davis</v>
      </c>
      <c r="B7" s="6">
        <f>'FY2020'!B7</f>
        <v>3</v>
      </c>
      <c r="C7" s="47">
        <v>40</v>
      </c>
      <c r="D7" s="8">
        <f>'FY2020'!D7</f>
        <v>19.48</v>
      </c>
      <c r="E7" s="8">
        <f t="shared" si="0"/>
        <v>19.6748</v>
      </c>
      <c r="F7" s="8">
        <f>E7*8*261</f>
        <v>41080.9824</v>
      </c>
      <c r="G7" s="8" t="str">
        <f t="shared" si="1"/>
        <v>0</v>
      </c>
      <c r="H7" s="41"/>
      <c r="I7" s="8">
        <f t="shared" si="2"/>
        <v>41080.9824</v>
      </c>
      <c r="J7" s="8">
        <f>I7/8/261</f>
        <v>19.6748</v>
      </c>
      <c r="K7" s="8">
        <f>'FY2020'!K7</f>
        <v>40674.24</v>
      </c>
      <c r="L7" s="158">
        <f t="shared" si="3"/>
        <v>0.010000000000000038</v>
      </c>
      <c r="M7" s="158">
        <f t="shared" si="4"/>
        <v>0.010000000000000038</v>
      </c>
      <c r="N7" s="11" t="s">
        <v>17</v>
      </c>
      <c r="O7" s="159">
        <f t="shared" si="5"/>
        <v>595.6742448</v>
      </c>
      <c r="P7" s="159">
        <f t="shared" si="6"/>
        <v>41.0809824</v>
      </c>
    </row>
    <row r="8" spans="1:16" ht="12.75">
      <c r="A8" t="str">
        <f>'FY2020'!A8</f>
        <v>Norm Daby </v>
      </c>
      <c r="B8" s="6">
        <f>'FY2020'!B8</f>
        <v>4</v>
      </c>
      <c r="C8" s="47">
        <v>40</v>
      </c>
      <c r="D8" s="8">
        <f>'FY2020'!D8</f>
        <v>20.5</v>
      </c>
      <c r="E8" s="8">
        <f t="shared" si="0"/>
        <v>20.705</v>
      </c>
      <c r="F8" s="8">
        <f>E8*8*261</f>
        <v>43232.03999999999</v>
      </c>
      <c r="G8" s="8" t="str">
        <f t="shared" si="1"/>
        <v>0</v>
      </c>
      <c r="H8" s="41"/>
      <c r="I8" s="8">
        <f t="shared" si="2"/>
        <v>43232.03999999999</v>
      </c>
      <c r="J8" s="8">
        <f>I8/8/261</f>
        <v>20.705</v>
      </c>
      <c r="K8" s="8">
        <f>'FY2020'!K8</f>
        <v>42804</v>
      </c>
      <c r="L8" s="158">
        <f t="shared" si="3"/>
        <v>0.009999999999999917</v>
      </c>
      <c r="M8" s="158">
        <f t="shared" si="4"/>
        <v>0.009999999999999917</v>
      </c>
      <c r="N8" s="11" t="s">
        <v>17</v>
      </c>
      <c r="O8" s="159">
        <f t="shared" si="5"/>
        <v>626.8645799999999</v>
      </c>
      <c r="P8" s="159">
        <f t="shared" si="6"/>
        <v>43.23204</v>
      </c>
    </row>
    <row r="9" spans="1:16" ht="12.75">
      <c r="A9" t="str">
        <f>'FY2020'!A9</f>
        <v>Curtis Neill (after probationary)</v>
      </c>
      <c r="B9" s="6">
        <f>'FY2020'!B9</f>
        <v>1</v>
      </c>
      <c r="C9" s="47">
        <v>40</v>
      </c>
      <c r="D9" s="8">
        <f>'FY2020'!D9</f>
        <v>19.48</v>
      </c>
      <c r="E9" s="8">
        <f t="shared" si="0"/>
        <v>19.6748</v>
      </c>
      <c r="F9" s="8">
        <f>E9*8*261</f>
        <v>41080.9824</v>
      </c>
      <c r="G9" s="8" t="str">
        <f t="shared" si="1"/>
        <v>0</v>
      </c>
      <c r="H9" s="41"/>
      <c r="I9" s="8">
        <f t="shared" si="2"/>
        <v>41080.9824</v>
      </c>
      <c r="J9" s="8">
        <f>I9/8/261</f>
        <v>19.6748</v>
      </c>
      <c r="K9" s="8">
        <f>'FY2020'!K9</f>
        <v>40674.24</v>
      </c>
      <c r="L9" s="158">
        <f t="shared" si="3"/>
        <v>0.010000000000000038</v>
      </c>
      <c r="M9" s="158">
        <f t="shared" si="4"/>
        <v>0.010000000000000038</v>
      </c>
      <c r="N9" s="11" t="s">
        <v>17</v>
      </c>
      <c r="O9" s="159">
        <f t="shared" si="5"/>
        <v>595.6742448</v>
      </c>
      <c r="P9" s="159">
        <f t="shared" si="6"/>
        <v>41.0809824</v>
      </c>
    </row>
    <row r="10" spans="1:16" ht="12.75">
      <c r="A10" t="s">
        <v>74</v>
      </c>
      <c r="B10" s="6"/>
      <c r="C10" s="47">
        <v>18</v>
      </c>
      <c r="D10" s="8">
        <f>'FY2020'!D10</f>
        <v>15.68</v>
      </c>
      <c r="E10" s="8">
        <f t="shared" si="0"/>
        <v>15.8368</v>
      </c>
      <c r="F10" s="8">
        <f>E10*18*52</f>
        <v>14823.2448</v>
      </c>
      <c r="G10" s="8" t="str">
        <f t="shared" si="1"/>
        <v>0</v>
      </c>
      <c r="H10" s="42"/>
      <c r="I10" s="8">
        <f t="shared" si="2"/>
        <v>14823.2448</v>
      </c>
      <c r="J10" s="8">
        <f>I10/18/52</f>
        <v>15.8368</v>
      </c>
      <c r="K10" s="8">
        <f>'FY2020'!K10</f>
        <v>14676.48</v>
      </c>
      <c r="L10" s="158">
        <f t="shared" si="3"/>
        <v>0.010000000000000031</v>
      </c>
      <c r="M10" s="158">
        <f t="shared" si="4"/>
        <v>0.010000000000000031</v>
      </c>
      <c r="N10" s="11" t="s">
        <v>17</v>
      </c>
      <c r="O10" s="159">
        <f t="shared" si="5"/>
        <v>214.93704960000002</v>
      </c>
      <c r="P10" s="159">
        <f t="shared" si="6"/>
        <v>14.823244800000001</v>
      </c>
    </row>
    <row r="11" spans="1:16" ht="12.75">
      <c r="A11" t="s">
        <v>36</v>
      </c>
      <c r="B11" s="6"/>
      <c r="C11" s="47"/>
      <c r="D11" s="8"/>
      <c r="E11" s="8"/>
      <c r="F11" s="8">
        <f>I11</f>
        <v>21641.748336</v>
      </c>
      <c r="G11" s="8"/>
      <c r="H11" s="42"/>
      <c r="I11" s="13">
        <f>((I6+I7+I8+I9)*0.08)+((I6+I7+I8+I9)*0.05)</f>
        <v>21641.748336</v>
      </c>
      <c r="J11" s="8"/>
      <c r="K11" s="8">
        <f>'FY2020'!K11</f>
        <v>21427.4736</v>
      </c>
      <c r="L11" s="158"/>
      <c r="M11" s="158"/>
      <c r="N11" s="11" t="s">
        <v>17</v>
      </c>
      <c r="O11" s="159">
        <f t="shared" si="5"/>
        <v>313.805350872</v>
      </c>
      <c r="P11" s="159">
        <f t="shared" si="6"/>
        <v>21.641748336000003</v>
      </c>
    </row>
    <row r="12" spans="2:16" ht="12.75">
      <c r="B12" s="9"/>
      <c r="C12" s="47"/>
      <c r="D12" s="8"/>
      <c r="E12" s="8"/>
      <c r="F12" s="8"/>
      <c r="G12" s="8"/>
      <c r="H12" s="11"/>
      <c r="I12" s="8"/>
      <c r="J12" s="11"/>
      <c r="K12" s="8"/>
      <c r="L12" s="158"/>
      <c r="M12" s="158"/>
      <c r="N12" s="11"/>
      <c r="O12" s="159"/>
      <c r="P12" s="159"/>
    </row>
    <row r="13" spans="1:16" ht="12.75">
      <c r="A13" t="str">
        <f>'FY2020'!A13</f>
        <v>Jim Hicks</v>
      </c>
      <c r="B13" s="6">
        <f>'FY2020'!B13</f>
        <v>36</v>
      </c>
      <c r="C13" s="47">
        <v>40</v>
      </c>
      <c r="D13" s="8">
        <f>'FY2020'!D13</f>
        <v>31.67</v>
      </c>
      <c r="E13" s="8">
        <f>(D13*1)*0.01+D13</f>
        <v>31.986700000000003</v>
      </c>
      <c r="F13" s="8">
        <f>E13*8*261</f>
        <v>66788.2296</v>
      </c>
      <c r="G13" s="8" t="str">
        <f>IF(B13&gt;=25,"1000",IF(B13&gt;=20,"750",IF(B13&gt;=15,"500",IF(B13&gt;=10,"250","0"))))</f>
        <v>1000</v>
      </c>
      <c r="H13" s="41"/>
      <c r="I13" s="8">
        <f>F13+G13+H13</f>
        <v>67788.2296</v>
      </c>
      <c r="J13" s="8">
        <f>I13/8/261</f>
        <v>32.46562720306514</v>
      </c>
      <c r="K13" s="8">
        <f>'FY2020'!K13</f>
        <v>67126.96</v>
      </c>
      <c r="L13" s="158">
        <f>(J13-D13)/D13</f>
        <v>0.025122425104677538</v>
      </c>
      <c r="M13" s="158">
        <f>(E13-D13)/D13</f>
        <v>0.010000000000000026</v>
      </c>
      <c r="N13" s="11" t="s">
        <v>20</v>
      </c>
      <c r="O13" s="159">
        <v>0</v>
      </c>
      <c r="P13" s="159">
        <f>I13*0.001</f>
        <v>67.78822960000001</v>
      </c>
    </row>
    <row r="14" spans="1:16" ht="12.75">
      <c r="A14" t="str">
        <f>'FY2020'!A14</f>
        <v>Kurt Gilmore</v>
      </c>
      <c r="B14" s="6">
        <f>'FY2020'!B14</f>
        <v>7</v>
      </c>
      <c r="C14" s="47">
        <v>40</v>
      </c>
      <c r="D14" s="8">
        <f>'FY2020'!D14</f>
        <v>25.85</v>
      </c>
      <c r="E14" s="8">
        <f>(D14*1)*0.01+D14</f>
        <v>26.108500000000003</v>
      </c>
      <c r="F14" s="8">
        <f>E14*8*261</f>
        <v>54514.548</v>
      </c>
      <c r="G14" s="8" t="str">
        <f>IF(B14&gt;=25,"1000",IF(B14&gt;=20,"750",IF(B14&gt;=15,"500",IF(B14&gt;=10,"250","0"))))</f>
        <v>0</v>
      </c>
      <c r="H14" s="41"/>
      <c r="I14" s="8">
        <f>F14+G14+H14</f>
        <v>54514.548</v>
      </c>
      <c r="J14" s="8">
        <f>I14/8/261</f>
        <v>26.108500000000003</v>
      </c>
      <c r="K14" s="8">
        <f>'FY2020'!K14</f>
        <v>53974.8</v>
      </c>
      <c r="L14" s="158">
        <f>(J14-D14)/D14</f>
        <v>0.010000000000000057</v>
      </c>
      <c r="M14" s="158">
        <f>(E14-D14)/D14</f>
        <v>0.010000000000000057</v>
      </c>
      <c r="N14" s="11" t="s">
        <v>17</v>
      </c>
      <c r="O14" s="159">
        <f t="shared" si="5"/>
        <v>790.460946</v>
      </c>
      <c r="P14" s="159">
        <f>I14*0.001</f>
        <v>54.514548000000005</v>
      </c>
    </row>
    <row r="15" spans="1:16" ht="12.75">
      <c r="A15" s="15" t="s">
        <v>21</v>
      </c>
      <c r="B15" s="16"/>
      <c r="C15" s="47" t="s">
        <v>87</v>
      </c>
      <c r="D15" s="8">
        <f>'FY2020'!D15</f>
        <v>18.46</v>
      </c>
      <c r="E15" s="8">
        <f>(D15*1)*0.01+D15</f>
        <v>18.6446</v>
      </c>
      <c r="F15" s="8">
        <f>E15*2230</f>
        <v>41577.458</v>
      </c>
      <c r="G15" s="8" t="str">
        <f>IF(B15&gt;=25,"1000",IF(B15&gt;=20,"750",IF(B15&gt;=15,"500",IF(B15&gt;=10,"250","0"))))</f>
        <v>0</v>
      </c>
      <c r="H15" s="42"/>
      <c r="I15" s="8">
        <f>F15+G15+H15</f>
        <v>41577.458</v>
      </c>
      <c r="J15" s="8">
        <f>E15</f>
        <v>18.6446</v>
      </c>
      <c r="K15" s="8">
        <f>'FY2020'!K15</f>
        <v>39212.89</v>
      </c>
      <c r="L15" s="158"/>
      <c r="M15" s="158">
        <f>(E15-D15)/D15</f>
        <v>0.009999999999999981</v>
      </c>
      <c r="N15" s="11" t="s">
        <v>17</v>
      </c>
      <c r="O15" s="159">
        <f t="shared" si="5"/>
        <v>602.873141</v>
      </c>
      <c r="P15" s="159">
        <f>I15*0.001</f>
        <v>41.577458</v>
      </c>
    </row>
    <row r="16" spans="1:16" ht="12.75">
      <c r="A16" s="15" t="s">
        <v>61</v>
      </c>
      <c r="B16" s="16"/>
      <c r="C16" s="47" t="s">
        <v>62</v>
      </c>
      <c r="D16" s="8"/>
      <c r="E16" s="8"/>
      <c r="F16" s="8">
        <f>I16</f>
        <v>6773.250193869732</v>
      </c>
      <c r="G16" s="8" t="str">
        <f>IF(B16&gt;=25,"1000",IF(B16&gt;=20,"750",IF(B16&gt;=15,"500",IF(B16&gt;=10,"250","0"))))</f>
        <v>0</v>
      </c>
      <c r="H16" s="42"/>
      <c r="I16" s="8">
        <f>B38</f>
        <v>6773.250193869732</v>
      </c>
      <c r="J16" s="8"/>
      <c r="K16" s="8">
        <f>'FY2020'!K16</f>
        <v>6706.605593869732</v>
      </c>
      <c r="L16" s="158"/>
      <c r="M16" s="158"/>
      <c r="N16" s="17" t="s">
        <v>17</v>
      </c>
      <c r="O16" s="159">
        <f t="shared" si="5"/>
        <v>98.21212781111113</v>
      </c>
      <c r="P16" s="159">
        <f>I16*0.001</f>
        <v>6.773250193869733</v>
      </c>
    </row>
    <row r="17" spans="1:16" ht="12.75">
      <c r="A17" s="15" t="s">
        <v>55</v>
      </c>
      <c r="B17" s="16"/>
      <c r="C17" s="47"/>
      <c r="D17" s="8"/>
      <c r="E17" s="8"/>
      <c r="F17" s="8"/>
      <c r="G17" s="8"/>
      <c r="H17" s="42"/>
      <c r="I17" s="8">
        <v>0</v>
      </c>
      <c r="J17" s="8"/>
      <c r="K17" s="8">
        <f>'FY2020'!K17</f>
        <v>0</v>
      </c>
      <c r="L17" s="158"/>
      <c r="M17" s="158"/>
      <c r="N17" s="17"/>
      <c r="O17" s="159">
        <f t="shared" si="5"/>
        <v>0</v>
      </c>
      <c r="P17" s="159"/>
    </row>
    <row r="18" spans="1:16" ht="12.75">
      <c r="A18" s="15"/>
      <c r="B18" s="16"/>
      <c r="C18" s="47"/>
      <c r="D18" s="8"/>
      <c r="E18" s="8"/>
      <c r="F18" s="8"/>
      <c r="G18" s="8"/>
      <c r="H18" s="42"/>
      <c r="I18" s="8"/>
      <c r="J18" s="8"/>
      <c r="K18" s="8"/>
      <c r="L18" s="158"/>
      <c r="M18" s="158"/>
      <c r="N18" s="17"/>
      <c r="O18" s="159"/>
      <c r="P18" s="159"/>
    </row>
    <row r="19" spans="1:16" ht="12.75">
      <c r="A19" t="str">
        <f>'FY2020'!A19</f>
        <v>Dan Fleuriel</v>
      </c>
      <c r="B19" s="6">
        <f>'FY2020'!B19</f>
        <v>38</v>
      </c>
      <c r="C19" s="47">
        <v>40</v>
      </c>
      <c r="D19" s="8">
        <f>'FY2020'!D19</f>
        <v>28.01</v>
      </c>
      <c r="E19" s="8">
        <f>(D19*1)*0.01+D19</f>
        <v>28.290100000000002</v>
      </c>
      <c r="F19" s="8">
        <f>E19*8*261</f>
        <v>59069.728800000004</v>
      </c>
      <c r="G19" s="41" t="str">
        <f>IF(B19&gt;=25,"1000",IF(B19&gt;=20,"750",IF(B19&gt;=15,"500",IF(B19&gt;=10,"250","0"))))</f>
        <v>1000</v>
      </c>
      <c r="H19" s="41">
        <v>1500</v>
      </c>
      <c r="I19" s="8">
        <f>F19+G19+H19</f>
        <v>61569.728800000004</v>
      </c>
      <c r="J19" s="8">
        <f>I19/8/261</f>
        <v>29.487418007662836</v>
      </c>
      <c r="K19" s="8">
        <f>'FY2020'!K19</f>
        <v>60984.880000000005</v>
      </c>
      <c r="L19" s="158">
        <f>(J19-D19)/D19</f>
        <v>0.05274609095547426</v>
      </c>
      <c r="M19" s="158">
        <f>(E19-D19)/D19</f>
        <v>0.010000000000000031</v>
      </c>
      <c r="N19" s="11" t="s">
        <v>20</v>
      </c>
      <c r="O19" s="159">
        <v>0</v>
      </c>
      <c r="P19" s="159">
        <f>I19*0.001</f>
        <v>61.56972880000001</v>
      </c>
    </row>
    <row r="20" spans="1:16" ht="12.75">
      <c r="A20" t="s">
        <v>96</v>
      </c>
      <c r="B20" s="6">
        <f>'FY2020'!B20</f>
        <v>3</v>
      </c>
      <c r="C20" s="47">
        <v>40</v>
      </c>
      <c r="D20" s="8">
        <f>'FY2020'!D20</f>
        <v>21.85</v>
      </c>
      <c r="E20" s="8">
        <f>(D20*1)*0.01+D20</f>
        <v>22.0685</v>
      </c>
      <c r="F20" s="8">
        <f>E20*8*261</f>
        <v>46079.028</v>
      </c>
      <c r="G20" s="8" t="str">
        <f>IF(B20&gt;=25,"1000",IF(B20&gt;=20,"750",IF(B20&gt;=15,"500",IF(B20&gt;=10,"250","0"))))</f>
        <v>0</v>
      </c>
      <c r="H20" s="41">
        <v>1000</v>
      </c>
      <c r="I20" s="8">
        <f>F20+G20+H20</f>
        <v>47079.028</v>
      </c>
      <c r="J20" s="8">
        <f>I20/8/261</f>
        <v>22.547427203065133</v>
      </c>
      <c r="K20" s="8">
        <f>'FY2020'!K20</f>
        <v>46622.8</v>
      </c>
      <c r="L20" s="158">
        <f>(J20-D20)/D20</f>
        <v>0.03191886512883899</v>
      </c>
      <c r="M20" s="158">
        <f>(E20-D20)/D20</f>
        <v>0.009999999999999945</v>
      </c>
      <c r="N20" s="11" t="s">
        <v>17</v>
      </c>
      <c r="O20" s="159">
        <f>I20*0.0145</f>
        <v>682.645906</v>
      </c>
      <c r="P20" s="159">
        <f>I20*0.001</f>
        <v>47.079028</v>
      </c>
    </row>
    <row r="21" spans="1:16" ht="12.75">
      <c r="A21" t="s">
        <v>23</v>
      </c>
      <c r="B21" s="6"/>
      <c r="C21" s="47"/>
      <c r="D21" s="8"/>
      <c r="E21" s="8"/>
      <c r="F21" s="8">
        <f>(182*J19)+(182*J20)</f>
        <v>9470.34182835249</v>
      </c>
      <c r="G21" s="8"/>
      <c r="H21" s="41"/>
      <c r="I21" s="8">
        <v>10846</v>
      </c>
      <c r="J21" s="8"/>
      <c r="K21" s="8">
        <f>'FY2020'!K21</f>
        <v>9379.59662835249</v>
      </c>
      <c r="L21" s="158"/>
      <c r="M21" s="158"/>
      <c r="N21" s="11" t="s">
        <v>17</v>
      </c>
      <c r="O21" s="159">
        <f aca="true" t="shared" si="7" ref="O21:O33">I21*0.0145</f>
        <v>157.267</v>
      </c>
      <c r="P21" s="159">
        <f>I21*0.001</f>
        <v>10.846</v>
      </c>
    </row>
    <row r="22" spans="2:16" ht="12.75">
      <c r="B22" s="6"/>
      <c r="C22" s="47"/>
      <c r="D22" s="8"/>
      <c r="E22" s="8"/>
      <c r="F22" s="8"/>
      <c r="G22" s="8"/>
      <c r="H22" s="41"/>
      <c r="I22" s="8"/>
      <c r="J22" s="8"/>
      <c r="K22" s="8"/>
      <c r="L22" s="158"/>
      <c r="M22" s="158"/>
      <c r="N22" s="11"/>
      <c r="O22" s="159"/>
      <c r="P22" s="159"/>
    </row>
    <row r="23" spans="1:16" ht="12.75">
      <c r="A23" t="str">
        <f>'FY2020'!A23</f>
        <v>Town Administrator (old rate, from contract)</v>
      </c>
      <c r="B23" s="6">
        <f>'FY2020'!B23</f>
        <v>0</v>
      </c>
      <c r="C23" s="47">
        <v>40</v>
      </c>
      <c r="D23" s="8">
        <f>'FY2020'!D23</f>
        <v>32.56704980842912</v>
      </c>
      <c r="E23" s="8">
        <f>'FY2020'!E23</f>
        <v>34.00383141762452</v>
      </c>
      <c r="F23" s="8">
        <f>'FY2020'!F23</f>
        <v>71000</v>
      </c>
      <c r="G23" s="41">
        <v>0</v>
      </c>
      <c r="H23" s="41"/>
      <c r="I23" s="8">
        <f>F23+G23+H23</f>
        <v>71000</v>
      </c>
      <c r="J23" s="8">
        <f>I23/8/261</f>
        <v>34.00383141762452</v>
      </c>
      <c r="K23" s="8">
        <f>'FY2020'!K23</f>
        <v>68000</v>
      </c>
      <c r="L23" s="158">
        <f>(J23-D23)/D23</f>
        <v>0.04411764705882345</v>
      </c>
      <c r="M23" s="158">
        <f>(E23-D23)/D23</f>
        <v>0.04411764705882345</v>
      </c>
      <c r="N23" s="11" t="s">
        <v>17</v>
      </c>
      <c r="O23" s="159">
        <f t="shared" si="7"/>
        <v>1029.5</v>
      </c>
      <c r="P23" s="159">
        <f>I23*0.001</f>
        <v>71</v>
      </c>
    </row>
    <row r="24" spans="1:16" ht="12.75">
      <c r="A24" t="str">
        <f>'FY2020'!A24</f>
        <v>Lisa Blackmer</v>
      </c>
      <c r="B24" s="6">
        <f>'FY2020'!B24</f>
        <v>4</v>
      </c>
      <c r="C24" s="177">
        <v>37.5</v>
      </c>
      <c r="D24" s="8">
        <f>'FY2020'!D24</f>
        <v>24.77</v>
      </c>
      <c r="E24" s="8">
        <f>(D24*1)*0.01+D24</f>
        <v>25.017699999999998</v>
      </c>
      <c r="F24" s="8">
        <f>E24*7.5*261</f>
        <v>48972.14775</v>
      </c>
      <c r="G24" s="8" t="str">
        <f>IF(B24&gt;=25,"1000",IF(B24&gt;=20,"750",IF(B24&gt;=15,"500",IF(B24&gt;=10,"250","0"))))</f>
        <v>0</v>
      </c>
      <c r="H24" s="41"/>
      <c r="I24" s="8">
        <f>F24+G24+H24</f>
        <v>48972.14775</v>
      </c>
      <c r="J24" s="8">
        <f>I24/7.5/261</f>
        <v>25.017699999999998</v>
      </c>
      <c r="K24" s="8">
        <f>'FY2020'!K24</f>
        <v>48487.275</v>
      </c>
      <c r="L24" s="158">
        <f>(J24-D24)/D24</f>
        <v>0.009999999999999929</v>
      </c>
      <c r="M24" s="158">
        <f>(E24-D24)/D24</f>
        <v>0.009999999999999929</v>
      </c>
      <c r="N24" s="11" t="s">
        <v>17</v>
      </c>
      <c r="O24" s="159">
        <f t="shared" si="7"/>
        <v>710.096142375</v>
      </c>
      <c r="P24" s="159">
        <f aca="true" t="shared" si="8" ref="P24:P33">I24*0.001</f>
        <v>48.97214775</v>
      </c>
    </row>
    <row r="25" spans="1:16" ht="12.75">
      <c r="A25" t="str">
        <f>'FY2020'!A25</f>
        <v>Pam Guyette</v>
      </c>
      <c r="B25" s="6">
        <f>'FY2020'!B25</f>
        <v>12</v>
      </c>
      <c r="C25" s="47">
        <v>28</v>
      </c>
      <c r="D25" s="8">
        <f>'FY2020'!D25</f>
        <v>22.41</v>
      </c>
      <c r="E25" s="8">
        <f>(D25*1)*0.01+D25</f>
        <v>22.6341</v>
      </c>
      <c r="F25" s="8">
        <f>(E25*5.6*261)</f>
        <v>33082.00056</v>
      </c>
      <c r="G25" s="8" t="str">
        <f>IF(B25&gt;=25,"1000",IF(B25&gt;=20,"750",IF(B25&gt;=15,"500",IF(B25&gt;=10,"250","0"))))</f>
        <v>250</v>
      </c>
      <c r="H25" s="41"/>
      <c r="I25" s="8">
        <f>F25+G25+H25</f>
        <v>33332.00056</v>
      </c>
      <c r="J25" s="8">
        <f>E25</f>
        <v>22.6341</v>
      </c>
      <c r="K25" s="8">
        <f>'FY2020'!K25</f>
        <v>32754.456</v>
      </c>
      <c r="L25" s="158">
        <f>(J25-D25)/D25</f>
        <v>0.009999999999999998</v>
      </c>
      <c r="M25" s="158">
        <f>(E25-D25)/D25</f>
        <v>0.009999999999999998</v>
      </c>
      <c r="N25" s="11" t="s">
        <v>17</v>
      </c>
      <c r="O25" s="159">
        <f t="shared" si="7"/>
        <v>483.31400812000004</v>
      </c>
      <c r="P25" s="159">
        <f t="shared" si="8"/>
        <v>33.332000560000004</v>
      </c>
    </row>
    <row r="26" spans="1:16" ht="12.75">
      <c r="A26" s="15" t="str">
        <f>'FY2020'!A26</f>
        <v>Sherry Clark</v>
      </c>
      <c r="B26" s="16">
        <f>'FY2020'!B26</f>
        <v>18</v>
      </c>
      <c r="C26" s="47">
        <v>40</v>
      </c>
      <c r="D26" s="8">
        <f>'FY2020'!D26</f>
        <v>20.17</v>
      </c>
      <c r="E26" s="8">
        <f>(D26*1)*0.01+D26</f>
        <v>20.3717</v>
      </c>
      <c r="F26" s="8">
        <f>E26*8*261</f>
        <v>42536.1096</v>
      </c>
      <c r="G26" s="8" t="str">
        <f>IF(B26&gt;=25,"1000",IF(B26&gt;=20,"750",IF(B26&gt;=15,"500",IF(B26&gt;=10,"250","0"))))</f>
        <v>500</v>
      </c>
      <c r="H26" s="42"/>
      <c r="I26" s="8">
        <f>F26+G26+H26</f>
        <v>43036.1096</v>
      </c>
      <c r="J26" s="8">
        <f>I26/8/261</f>
        <v>20.611163601532567</v>
      </c>
      <c r="K26" s="13">
        <f>'FY2020'!K26</f>
        <v>42614.96000000001</v>
      </c>
      <c r="L26" s="158">
        <f>(J26-D26)/D26</f>
        <v>0.021872265817182223</v>
      </c>
      <c r="M26" s="158">
        <f>(E26-D26)/D26</f>
        <v>0.009999999999999943</v>
      </c>
      <c r="N26" s="17" t="s">
        <v>17</v>
      </c>
      <c r="O26" s="159">
        <f t="shared" si="7"/>
        <v>624.0235892000001</v>
      </c>
      <c r="P26" s="159">
        <f t="shared" si="8"/>
        <v>43.0361096</v>
      </c>
    </row>
    <row r="27" spans="1:16" ht="12.75">
      <c r="A27" s="35" t="s">
        <v>92</v>
      </c>
      <c r="B27" s="31"/>
      <c r="C27" s="49" t="s">
        <v>91</v>
      </c>
      <c r="D27" s="8">
        <f>'FY2020'!D27</f>
        <v>7500</v>
      </c>
      <c r="E27" s="8"/>
      <c r="F27" s="32">
        <v>7500</v>
      </c>
      <c r="G27" s="8"/>
      <c r="H27" s="43"/>
      <c r="I27" s="32">
        <f>F27</f>
        <v>7500</v>
      </c>
      <c r="J27" s="8"/>
      <c r="K27" s="32">
        <v>7500</v>
      </c>
      <c r="L27" s="158"/>
      <c r="M27" s="158"/>
      <c r="N27" s="33" t="s">
        <v>17</v>
      </c>
      <c r="O27" s="159">
        <f t="shared" si="7"/>
        <v>108.75</v>
      </c>
      <c r="P27" s="159">
        <f t="shared" si="8"/>
        <v>7.5</v>
      </c>
    </row>
    <row r="28" spans="1:16" ht="12.75">
      <c r="A28" s="35" t="s">
        <v>45</v>
      </c>
      <c r="B28" s="31"/>
      <c r="C28" s="49"/>
      <c r="D28" s="8">
        <v>16464.01</v>
      </c>
      <c r="E28" s="8"/>
      <c r="F28" s="32">
        <v>0</v>
      </c>
      <c r="G28" s="8"/>
      <c r="H28" s="43"/>
      <c r="I28" s="162">
        <f>F28</f>
        <v>0</v>
      </c>
      <c r="J28" s="8"/>
      <c r="K28" s="162">
        <f>'FY2020'!K28</f>
        <v>0</v>
      </c>
      <c r="L28" s="158"/>
      <c r="M28" s="158"/>
      <c r="N28" s="33" t="s">
        <v>17</v>
      </c>
      <c r="O28" s="159">
        <f t="shared" si="7"/>
        <v>0</v>
      </c>
      <c r="P28" s="159">
        <f t="shared" si="8"/>
        <v>0</v>
      </c>
    </row>
    <row r="29" spans="1:16" ht="12.75">
      <c r="A29" s="30" t="s">
        <v>66</v>
      </c>
      <c r="B29" s="31">
        <f>'FY2020'!B29</f>
        <v>2</v>
      </c>
      <c r="C29" s="181">
        <v>18.5</v>
      </c>
      <c r="D29" s="32">
        <f>'FY2020'!D29</f>
        <v>19.48</v>
      </c>
      <c r="E29" s="8">
        <f>(D29*1)*0.01+D29</f>
        <v>19.6748</v>
      </c>
      <c r="F29" s="8">
        <f>E29*3.7*261</f>
        <v>18999.954360000003</v>
      </c>
      <c r="G29" s="8" t="str">
        <f>IF(B29&gt;=25,"1000",IF(B29&gt;=20,"750",IF(B29&gt;=15,"500",IF(B29&gt;=10,"250","0"))))</f>
        <v>0</v>
      </c>
      <c r="H29" s="43"/>
      <c r="I29" s="32">
        <f>F29</f>
        <v>18999.954360000003</v>
      </c>
      <c r="J29" s="8">
        <f>I29/3.7/261</f>
        <v>19.674800000000005</v>
      </c>
      <c r="K29" s="32">
        <f>'FY2020'!K29</f>
        <v>18811.836000000003</v>
      </c>
      <c r="L29" s="158">
        <f>(J29-D29)/D29</f>
        <v>0.01000000000000022</v>
      </c>
      <c r="M29" s="158">
        <f>(E29-D29)/D29</f>
        <v>0.010000000000000038</v>
      </c>
      <c r="N29" s="33" t="s">
        <v>17</v>
      </c>
      <c r="O29" s="159">
        <f t="shared" si="7"/>
        <v>275.4993382200001</v>
      </c>
      <c r="P29" s="159">
        <f t="shared" si="8"/>
        <v>18.999954360000004</v>
      </c>
    </row>
    <row r="30" spans="1:16" ht="12.75">
      <c r="A30" s="35" t="s">
        <v>78</v>
      </c>
      <c r="B30" s="31"/>
      <c r="C30" s="49" t="s">
        <v>97</v>
      </c>
      <c r="D30" s="32">
        <f>'FY2020'!D30</f>
        <v>13.66</v>
      </c>
      <c r="E30" s="8">
        <f>(D30*1)*0.01+D30</f>
        <v>13.7966</v>
      </c>
      <c r="F30" s="8">
        <f>(166*E30)</f>
        <v>2290.2356</v>
      </c>
      <c r="G30" s="32"/>
      <c r="H30" s="43"/>
      <c r="I30" s="32">
        <f>F30</f>
        <v>2290.2356</v>
      </c>
      <c r="J30" s="8">
        <f>E30</f>
        <v>13.7966</v>
      </c>
      <c r="K30" s="32">
        <f>'FY2020'!K30</f>
        <v>2158</v>
      </c>
      <c r="L30" s="158">
        <f>(J30-D30)/D30</f>
        <v>0.00999999999999997</v>
      </c>
      <c r="M30" s="158">
        <f>(E30-D30)/D30</f>
        <v>0.00999999999999997</v>
      </c>
      <c r="N30" s="33" t="s">
        <v>17</v>
      </c>
      <c r="O30" s="159">
        <f t="shared" si="7"/>
        <v>33.2084162</v>
      </c>
      <c r="P30" s="159">
        <f t="shared" si="8"/>
        <v>2.2902356</v>
      </c>
    </row>
    <row r="31" spans="1:16" ht="12.75">
      <c r="A31" s="35" t="s">
        <v>42</v>
      </c>
      <c r="B31" s="31"/>
      <c r="C31" s="48"/>
      <c r="D31" s="163"/>
      <c r="E31" s="8"/>
      <c r="F31" s="32">
        <v>3981</v>
      </c>
      <c r="G31" s="32"/>
      <c r="H31" s="43"/>
      <c r="I31" s="32">
        <v>4080</v>
      </c>
      <c r="J31" s="32"/>
      <c r="K31" s="32">
        <f>'FY2020'!K31</f>
        <v>3981</v>
      </c>
      <c r="L31" s="158"/>
      <c r="M31" s="164"/>
      <c r="N31" s="33" t="s">
        <v>17</v>
      </c>
      <c r="O31" s="159">
        <f t="shared" si="7"/>
        <v>59.160000000000004</v>
      </c>
      <c r="P31" s="159">
        <f t="shared" si="8"/>
        <v>4.08</v>
      </c>
    </row>
    <row r="32" spans="1:16" ht="12.75">
      <c r="A32" s="35" t="s">
        <v>43</v>
      </c>
      <c r="B32" s="31"/>
      <c r="C32" s="48"/>
      <c r="D32" s="163"/>
      <c r="E32" s="8"/>
      <c r="F32" s="32">
        <v>55000</v>
      </c>
      <c r="G32" s="32"/>
      <c r="H32" s="43"/>
      <c r="I32" s="32">
        <v>55000</v>
      </c>
      <c r="J32" s="32"/>
      <c r="K32" s="32">
        <f>'FY2020'!K32</f>
        <v>55000</v>
      </c>
      <c r="L32" s="158"/>
      <c r="M32" s="164"/>
      <c r="N32" s="33" t="s">
        <v>17</v>
      </c>
      <c r="O32" s="159">
        <f t="shared" si="7"/>
        <v>797.5</v>
      </c>
      <c r="P32" s="159">
        <f t="shared" si="8"/>
        <v>55</v>
      </c>
    </row>
    <row r="33" spans="1:16" ht="13.5" thickBot="1">
      <c r="A33" s="144" t="s">
        <v>37</v>
      </c>
      <c r="B33" s="145"/>
      <c r="C33" s="146"/>
      <c r="D33" s="165"/>
      <c r="E33" s="165"/>
      <c r="F33" s="147">
        <v>51783</v>
      </c>
      <c r="G33" s="147"/>
      <c r="H33" s="148"/>
      <c r="I33" s="147">
        <f>F33</f>
        <v>51783</v>
      </c>
      <c r="J33" s="147"/>
      <c r="K33" s="147">
        <f>'FY2020'!K33</f>
        <v>51406</v>
      </c>
      <c r="L33" s="166"/>
      <c r="M33" s="167"/>
      <c r="N33" s="149" t="s">
        <v>17</v>
      </c>
      <c r="O33" s="169">
        <f t="shared" si="7"/>
        <v>750.8535</v>
      </c>
      <c r="P33" s="169">
        <f t="shared" si="8"/>
        <v>51.783</v>
      </c>
    </row>
    <row r="34" spans="1:16" ht="12.75">
      <c r="A34" s="19" t="s">
        <v>24</v>
      </c>
      <c r="B34" s="7"/>
      <c r="C34" s="47"/>
      <c r="D34" s="8"/>
      <c r="E34" s="8"/>
      <c r="F34" s="8">
        <f>SUM(F5:F33)-F32</f>
        <v>826426.7414282222</v>
      </c>
      <c r="G34" s="13"/>
      <c r="H34" s="42"/>
      <c r="I34" s="8">
        <f>SUM(I5:I33)-I32</f>
        <v>835901.3995998697</v>
      </c>
      <c r="J34" s="8"/>
      <c r="K34" s="8">
        <f>SUM(K5:K33)-K32</f>
        <v>819069.3328222223</v>
      </c>
      <c r="L34" s="158"/>
      <c r="M34" s="158"/>
      <c r="N34" s="11"/>
      <c r="O34" s="8">
        <f>SUM(O5:O33)</f>
        <v>11042.37989739811</v>
      </c>
      <c r="P34" s="8">
        <f>SUM(P5:P33)</f>
        <v>890.9013995998698</v>
      </c>
    </row>
    <row r="35" spans="2:16" ht="13.5" thickBot="1">
      <c r="B35" s="9"/>
      <c r="C35" s="47"/>
      <c r="G35" s="8"/>
      <c r="H35" s="11"/>
      <c r="L35" s="10"/>
      <c r="M35" s="10"/>
      <c r="N35" s="11"/>
      <c r="O35" s="4"/>
      <c r="P35" s="51"/>
    </row>
    <row r="36" spans="1:16" ht="12.75">
      <c r="A36" t="s">
        <v>25</v>
      </c>
      <c r="B36" s="7">
        <f>J14*1.5*100</f>
        <v>3916.275</v>
      </c>
      <c r="C36" s="50" t="s">
        <v>47</v>
      </c>
      <c r="D36" s="5" t="s">
        <v>108</v>
      </c>
      <c r="E36" s="5"/>
      <c r="F36" s="25"/>
      <c r="G36" s="8"/>
      <c r="H36" s="11"/>
      <c r="L36" s="8"/>
      <c r="M36" s="52"/>
      <c r="N36" s="53"/>
      <c r="O36" s="54" t="s">
        <v>122</v>
      </c>
      <c r="P36" s="55">
        <f>(I34-K34)</f>
        <v>16832.066777647473</v>
      </c>
    </row>
    <row r="37" spans="1:16" ht="13.5" thickBot="1">
      <c r="A37" t="s">
        <v>26</v>
      </c>
      <c r="B37" s="66">
        <f>(J13)*8*11</f>
        <v>2856.9751938697323</v>
      </c>
      <c r="C37" s="47" t="s">
        <v>48</v>
      </c>
      <c r="D37" s="9">
        <f>I26+I25+(0.9*I24)+(0.9*I23)</f>
        <v>184343.043135</v>
      </c>
      <c r="E37" s="9"/>
      <c r="F37" s="21" t="s">
        <v>50</v>
      </c>
      <c r="G37" s="8"/>
      <c r="H37" s="11"/>
      <c r="L37" s="8"/>
      <c r="M37" s="56"/>
      <c r="N37" s="44"/>
      <c r="O37" s="44"/>
      <c r="P37" s="57"/>
    </row>
    <row r="38" spans="1:16" ht="12.75">
      <c r="A38" s="19" t="s">
        <v>1</v>
      </c>
      <c r="B38" s="22">
        <f>SUM(B36:B37)</f>
        <v>6773.250193869732</v>
      </c>
      <c r="C38" s="47" t="s">
        <v>29</v>
      </c>
      <c r="D38" s="9">
        <f>(0.67*((0.9*I5)+I6+I7+I8+I9))+((I6+I7+I8+I9)*0.05)</f>
        <v>157139.28725040003</v>
      </c>
      <c r="E38" s="9"/>
      <c r="F38" s="29" t="s">
        <v>68</v>
      </c>
      <c r="G38" s="8"/>
      <c r="H38" s="11"/>
      <c r="L38" s="10"/>
      <c r="M38" s="186" t="s">
        <v>112</v>
      </c>
      <c r="N38" s="187"/>
      <c r="O38" s="187"/>
      <c r="P38" s="129">
        <f>P34-P39</f>
        <v>771.4066427998698</v>
      </c>
    </row>
    <row r="39" spans="1:16" ht="12.75">
      <c r="A39" s="14"/>
      <c r="B39" s="7"/>
      <c r="C39" s="47" t="s">
        <v>49</v>
      </c>
      <c r="D39" s="9">
        <f>((0.9*I5)*0.33)+(0.33*(I6+I7+I8+I9))+((I6+I7+I8+I9)*0.08)</f>
        <v>86615.2042056</v>
      </c>
      <c r="E39" s="9"/>
      <c r="F39" s="29" t="s">
        <v>69</v>
      </c>
      <c r="G39" s="8"/>
      <c r="H39" s="11"/>
      <c r="L39" s="8"/>
      <c r="M39" s="58"/>
      <c r="N39" s="187" t="s">
        <v>71</v>
      </c>
      <c r="O39" s="187"/>
      <c r="P39" s="133">
        <f>P19+P20+P21</f>
        <v>119.4947568</v>
      </c>
    </row>
    <row r="40" spans="1:16" ht="12.75">
      <c r="A40" s="19"/>
      <c r="B40" s="7"/>
      <c r="C40" s="47" t="s">
        <v>30</v>
      </c>
      <c r="D40" s="9">
        <f>I10+(0.1*I5)</f>
        <v>21005.21768</v>
      </c>
      <c r="E40" s="9"/>
      <c r="F40" s="21" t="s">
        <v>70</v>
      </c>
      <c r="G40" s="8"/>
      <c r="H40" s="11"/>
      <c r="L40" s="8"/>
      <c r="M40" s="56"/>
      <c r="N40" s="185" t="s">
        <v>73</v>
      </c>
      <c r="O40" s="188"/>
      <c r="P40" s="59">
        <f>150000*0.001</f>
        <v>150</v>
      </c>
    </row>
    <row r="41" spans="1:16" ht="12.75">
      <c r="A41" s="19"/>
      <c r="B41" s="7"/>
      <c r="C41" s="47" t="s">
        <v>31</v>
      </c>
      <c r="D41" s="9">
        <f>I13+I14+I15+I16</f>
        <v>170653.48579386974</v>
      </c>
      <c r="E41" s="9"/>
      <c r="F41" s="21" t="s">
        <v>32</v>
      </c>
      <c r="G41" s="8"/>
      <c r="H41" s="11"/>
      <c r="L41" s="8"/>
      <c r="M41" s="60"/>
      <c r="N41" s="61"/>
      <c r="O41" s="44" t="s">
        <v>27</v>
      </c>
      <c r="P41" s="134">
        <f>SUM(P38:P40)</f>
        <v>1040.9013995998698</v>
      </c>
    </row>
    <row r="42" spans="1:16" ht="12.75">
      <c r="A42" s="23" t="s">
        <v>28</v>
      </c>
      <c r="B42" s="7">
        <f>(I6+I7+I8+I9)*0.13</f>
        <v>21641.748336</v>
      </c>
      <c r="C42" s="47" t="s">
        <v>33</v>
      </c>
      <c r="D42" s="18">
        <f>I19+I20+I21+(0.1*I23)+(0.1*I24)</f>
        <v>131491.971575</v>
      </c>
      <c r="E42" s="18"/>
      <c r="F42" s="21" t="s">
        <v>51</v>
      </c>
      <c r="G42" s="8"/>
      <c r="H42" s="11"/>
      <c r="L42" s="8"/>
      <c r="M42" s="63"/>
      <c r="N42" s="44"/>
      <c r="O42" s="44"/>
      <c r="P42" s="64"/>
    </row>
    <row r="43" spans="1:16" ht="12.75">
      <c r="A43" s="23"/>
      <c r="B43" s="22"/>
      <c r="C43" s="47" t="s">
        <v>46</v>
      </c>
      <c r="D43" s="18">
        <f>I27+I28</f>
        <v>7500</v>
      </c>
      <c r="E43" s="18"/>
      <c r="F43" s="21" t="s">
        <v>65</v>
      </c>
      <c r="G43" s="8"/>
      <c r="H43" s="11"/>
      <c r="L43" s="8"/>
      <c r="M43" s="63"/>
      <c r="N43" s="44"/>
      <c r="O43" s="44"/>
      <c r="P43" s="57"/>
    </row>
    <row r="44" spans="1:16" ht="12.75">
      <c r="A44" s="19"/>
      <c r="B44" s="7"/>
      <c r="C44" s="47" t="s">
        <v>40</v>
      </c>
      <c r="D44" s="9">
        <f>SUM(I29:I30)</f>
        <v>21290.189960000003</v>
      </c>
      <c r="E44" s="9"/>
      <c r="F44" s="21" t="s">
        <v>77</v>
      </c>
      <c r="G44" s="8"/>
      <c r="H44" s="11"/>
      <c r="L44" s="8"/>
      <c r="M44" s="60"/>
      <c r="N44" s="61" t="s">
        <v>53</v>
      </c>
      <c r="O44" s="61"/>
      <c r="P44" s="64">
        <f>SUM(O34-O44)</f>
        <v>11042.37989739811</v>
      </c>
    </row>
    <row r="45" spans="2:16" ht="12.75">
      <c r="B45" s="9"/>
      <c r="C45" s="47" t="s">
        <v>102</v>
      </c>
      <c r="D45" s="9">
        <f>I31</f>
        <v>4080</v>
      </c>
      <c r="E45" s="9"/>
      <c r="F45" s="21" t="s">
        <v>99</v>
      </c>
      <c r="G45" s="8"/>
      <c r="H45" s="8"/>
      <c r="I45" s="69"/>
      <c r="J45" s="69"/>
      <c r="K45" s="70"/>
      <c r="L45" s="70"/>
      <c r="M45" s="60"/>
      <c r="N45" s="61" t="s">
        <v>52</v>
      </c>
      <c r="O45" s="61"/>
      <c r="P45" s="62">
        <f>O19+O20+O21</f>
        <v>839.912906</v>
      </c>
    </row>
    <row r="46" spans="2:16" ht="13.5" thickBot="1">
      <c r="B46" s="9"/>
      <c r="C46" s="151" t="s">
        <v>103</v>
      </c>
      <c r="D46" s="150">
        <f>I33</f>
        <v>51783</v>
      </c>
      <c r="E46" s="44"/>
      <c r="F46" s="29" t="s">
        <v>106</v>
      </c>
      <c r="G46" s="8"/>
      <c r="H46" s="8"/>
      <c r="I46" s="7"/>
      <c r="J46" s="7"/>
      <c r="K46" s="12"/>
      <c r="L46" s="20"/>
      <c r="M46" s="65"/>
      <c r="N46" s="66"/>
      <c r="O46" s="66" t="s">
        <v>27</v>
      </c>
      <c r="P46" s="67">
        <f>SUM(P44+P45)</f>
        <v>11882.29280339811</v>
      </c>
    </row>
    <row r="47" spans="1:16" ht="12.75">
      <c r="A47" s="24"/>
      <c r="B47" s="24"/>
      <c r="C47" s="47" t="s">
        <v>34</v>
      </c>
      <c r="D47" s="44">
        <f>SUM(D37:D46)</f>
        <v>835901.3995998697</v>
      </c>
      <c r="E47" s="7"/>
      <c r="F47" s="7"/>
      <c r="G47" s="13" t="s">
        <v>121</v>
      </c>
      <c r="H47" s="5"/>
      <c r="I47" s="25"/>
      <c r="J47" s="25"/>
      <c r="K47" s="68"/>
      <c r="L47" s="26"/>
      <c r="M47" s="136"/>
      <c r="N47" s="5"/>
      <c r="O47" s="27"/>
      <c r="P47" s="28"/>
    </row>
    <row r="48" spans="2:16" ht="12.75">
      <c r="B48" s="9"/>
      <c r="C48" s="47"/>
      <c r="D48" s="7"/>
      <c r="E48" s="7"/>
      <c r="F48" s="7"/>
      <c r="G48" s="8"/>
      <c r="H48" s="8"/>
      <c r="I48" s="7"/>
      <c r="J48" s="7"/>
      <c r="K48" s="51"/>
      <c r="L48" s="20"/>
      <c r="M48" s="20"/>
      <c r="N48" s="8"/>
      <c r="O48" s="27"/>
      <c r="P48" s="9"/>
    </row>
  </sheetData>
  <sheetProtection/>
  <mergeCells count="3">
    <mergeCell ref="M38:O38"/>
    <mergeCell ref="N39:O39"/>
    <mergeCell ref="N40:O40"/>
  </mergeCells>
  <printOptions gridLines="1" horizontalCentered="1" verticalCentered="1"/>
  <pageMargins left="0.25" right="0" top="0.75" bottom="0.25" header="0.5" footer="0.5"/>
  <pageSetup horizontalDpi="600" verticalDpi="600" orientation="landscape" paperSize="5" scale="90" r:id="rId1"/>
  <headerFooter alignWithMargins="0">
    <oddHeader>&amp;LSalary FY 2020 1.0%
&amp;R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4">
      <selection activeCell="J29" sqref="J29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6" width="11.7109375" style="0" customWidth="1"/>
    <col min="7" max="8" width="10.7109375" style="0" customWidth="1"/>
    <col min="9" max="11" width="11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2.7109375" style="0" customWidth="1"/>
  </cols>
  <sheetData>
    <row r="1" spans="1:16" ht="12.75">
      <c r="A1" s="135">
        <v>0.015</v>
      </c>
      <c r="B1" s="2"/>
      <c r="C1" s="45" t="s">
        <v>58</v>
      </c>
      <c r="D1" s="1" t="s">
        <v>107</v>
      </c>
      <c r="E1" s="1" t="s">
        <v>113</v>
      </c>
      <c r="F1" s="1" t="s">
        <v>113</v>
      </c>
      <c r="G1" s="1"/>
      <c r="H1" s="1"/>
      <c r="I1" s="1" t="s">
        <v>114</v>
      </c>
      <c r="J1" s="1" t="s">
        <v>114</v>
      </c>
      <c r="K1" s="1" t="s">
        <v>108</v>
      </c>
      <c r="L1" s="3"/>
      <c r="M1" s="3"/>
      <c r="N1" s="1"/>
      <c r="O1" s="34"/>
      <c r="P1" s="1"/>
    </row>
    <row r="2" spans="1:15" ht="12.75">
      <c r="A2" s="1"/>
      <c r="B2" s="2"/>
      <c r="C2" s="45" t="s">
        <v>10</v>
      </c>
      <c r="D2" s="2" t="s">
        <v>54</v>
      </c>
      <c r="E2" s="2" t="s">
        <v>56</v>
      </c>
      <c r="F2" s="2" t="s">
        <v>5</v>
      </c>
      <c r="G2" s="2" t="s">
        <v>0</v>
      </c>
      <c r="H2" s="2"/>
      <c r="I2" s="1" t="s">
        <v>1</v>
      </c>
      <c r="J2" s="1" t="s">
        <v>35</v>
      </c>
      <c r="K2" s="2" t="s">
        <v>2</v>
      </c>
      <c r="L2" s="1" t="s">
        <v>35</v>
      </c>
      <c r="M2" s="1" t="s">
        <v>38</v>
      </c>
      <c r="N2" s="1"/>
      <c r="O2" s="4"/>
    </row>
    <row r="3" spans="1:16" ht="12.75">
      <c r="A3" s="1"/>
      <c r="B3" s="2" t="s">
        <v>3</v>
      </c>
      <c r="C3" s="45" t="s">
        <v>59</v>
      </c>
      <c r="D3" s="2" t="s">
        <v>4</v>
      </c>
      <c r="E3" s="2" t="s">
        <v>57</v>
      </c>
      <c r="F3" s="1" t="s">
        <v>54</v>
      </c>
      <c r="G3" s="2" t="s">
        <v>44</v>
      </c>
      <c r="H3" s="2" t="s">
        <v>89</v>
      </c>
      <c r="I3" s="1" t="s">
        <v>5</v>
      </c>
      <c r="J3" s="1" t="s">
        <v>4</v>
      </c>
      <c r="K3" s="2" t="s">
        <v>5</v>
      </c>
      <c r="L3" s="3" t="s">
        <v>13</v>
      </c>
      <c r="M3" s="3" t="s">
        <v>6</v>
      </c>
      <c r="N3" s="1" t="s">
        <v>7</v>
      </c>
      <c r="O3" s="1" t="s">
        <v>7</v>
      </c>
      <c r="P3" s="40" t="s">
        <v>8</v>
      </c>
    </row>
    <row r="4" spans="1:16" ht="12.75">
      <c r="A4" s="36" t="s">
        <v>9</v>
      </c>
      <c r="B4" s="37" t="s">
        <v>10</v>
      </c>
      <c r="C4" s="46" t="s">
        <v>60</v>
      </c>
      <c r="D4" s="37" t="s">
        <v>11</v>
      </c>
      <c r="E4" s="37" t="s">
        <v>11</v>
      </c>
      <c r="F4" s="37" t="s">
        <v>11</v>
      </c>
      <c r="G4" s="37" t="s">
        <v>12</v>
      </c>
      <c r="H4" s="37"/>
      <c r="I4" s="36" t="s">
        <v>11</v>
      </c>
      <c r="J4" s="36" t="s">
        <v>11</v>
      </c>
      <c r="K4" s="37" t="s">
        <v>11</v>
      </c>
      <c r="L4" s="36" t="s">
        <v>41</v>
      </c>
      <c r="M4" s="38" t="s">
        <v>13</v>
      </c>
      <c r="N4" s="36" t="s">
        <v>14</v>
      </c>
      <c r="O4" s="39" t="s">
        <v>15</v>
      </c>
      <c r="P4" s="36" t="s">
        <v>16</v>
      </c>
    </row>
    <row r="5" spans="1:16" ht="12.75">
      <c r="A5" t="str">
        <f>'FY2020'!A5</f>
        <v>Steve Daby</v>
      </c>
      <c r="B5" s="6">
        <f>'FY2020'!B5</f>
        <v>23</v>
      </c>
      <c r="C5" s="47">
        <v>40</v>
      </c>
      <c r="D5" s="8">
        <f>'FY2020'!D5</f>
        <v>28.01</v>
      </c>
      <c r="E5" s="8">
        <f>(D5*1)*0.015+D5</f>
        <v>28.43015</v>
      </c>
      <c r="F5" s="8">
        <f>E5*8*261</f>
        <v>59362.1532</v>
      </c>
      <c r="G5" s="8" t="str">
        <f aca="true" t="shared" si="0" ref="G5:G10">IF(B5&gt;=25,"1000",IF(B5&gt;=20,"750",IF(B5&gt;=15,"500",IF(B5&gt;=10,"250","0"))))</f>
        <v>750</v>
      </c>
      <c r="H5" s="41">
        <v>2000</v>
      </c>
      <c r="I5" s="8">
        <f aca="true" t="shared" si="1" ref="I5:I10">F5+G5+H5</f>
        <v>62112.1532</v>
      </c>
      <c r="J5" s="8">
        <f>I5/8/261</f>
        <v>29.74719980842912</v>
      </c>
      <c r="K5" s="8">
        <f>'FY2020'!K5</f>
        <v>58416.6</v>
      </c>
      <c r="L5" s="158">
        <f aca="true" t="shared" si="2" ref="L5:L10">(J5-D5)/D5</f>
        <v>0.0620207000510217</v>
      </c>
      <c r="M5" s="158">
        <f aca="true" t="shared" si="3" ref="M5:M10">(E5-D5)/D5</f>
        <v>0.014999999999999984</v>
      </c>
      <c r="N5" s="11" t="s">
        <v>17</v>
      </c>
      <c r="O5" s="159">
        <f>I5*0.0145</f>
        <v>900.6262214000001</v>
      </c>
      <c r="P5" s="159">
        <f>I5*0.001</f>
        <v>62.1121532</v>
      </c>
    </row>
    <row r="6" spans="1:16" ht="12.75">
      <c r="A6" t="str">
        <f>'FY2020'!A6</f>
        <v>Michael Lovett</v>
      </c>
      <c r="B6" s="6">
        <f>'FY2020'!B6</f>
        <v>1</v>
      </c>
      <c r="C6" s="47">
        <v>40</v>
      </c>
      <c r="D6" s="8">
        <f>'FY2020'!D6</f>
        <v>19.48</v>
      </c>
      <c r="E6" s="8">
        <f aca="true" t="shared" si="4" ref="E6:E30">(D6*1)*0.015+D6</f>
        <v>19.7722</v>
      </c>
      <c r="F6" s="8">
        <f>E6*8*261</f>
        <v>41284.3536</v>
      </c>
      <c r="G6" s="8" t="str">
        <f t="shared" si="0"/>
        <v>0</v>
      </c>
      <c r="H6" s="41"/>
      <c r="I6" s="8">
        <f t="shared" si="1"/>
        <v>41284.3536</v>
      </c>
      <c r="J6" s="8">
        <f>I6/8/261</f>
        <v>19.7722</v>
      </c>
      <c r="K6" s="8">
        <f>'FY2020'!K6</f>
        <v>40674.24</v>
      </c>
      <c r="L6" s="158">
        <f t="shared" si="2"/>
        <v>0.015000000000000057</v>
      </c>
      <c r="M6" s="158">
        <f t="shared" si="3"/>
        <v>0.015000000000000057</v>
      </c>
      <c r="N6" s="11" t="s">
        <v>17</v>
      </c>
      <c r="O6" s="159">
        <f aca="true" t="shared" si="5" ref="O6:O32">I6*0.0145</f>
        <v>598.6231272000001</v>
      </c>
      <c r="P6" s="159">
        <f aca="true" t="shared" si="6" ref="P6:P33">I6*0.001</f>
        <v>41.2843536</v>
      </c>
    </row>
    <row r="7" spans="1:16" ht="12.75">
      <c r="A7" t="str">
        <f>'FY2020'!A7</f>
        <v>Larry Davis</v>
      </c>
      <c r="B7" s="6">
        <f>'FY2020'!B7</f>
        <v>3</v>
      </c>
      <c r="C7" s="47">
        <v>40</v>
      </c>
      <c r="D7" s="8">
        <f>'FY2020'!D7</f>
        <v>19.48</v>
      </c>
      <c r="E7" s="8">
        <f t="shared" si="4"/>
        <v>19.7722</v>
      </c>
      <c r="F7" s="8">
        <f>E7*8*261</f>
        <v>41284.3536</v>
      </c>
      <c r="G7" s="8" t="str">
        <f t="shared" si="0"/>
        <v>0</v>
      </c>
      <c r="H7" s="41"/>
      <c r="I7" s="8">
        <f t="shared" si="1"/>
        <v>41284.3536</v>
      </c>
      <c r="J7" s="8">
        <f>I7/8/261</f>
        <v>19.7722</v>
      </c>
      <c r="K7" s="8">
        <f>'FY2020'!K7</f>
        <v>40674.24</v>
      </c>
      <c r="L7" s="158">
        <f t="shared" si="2"/>
        <v>0.015000000000000057</v>
      </c>
      <c r="M7" s="158">
        <f t="shared" si="3"/>
        <v>0.015000000000000057</v>
      </c>
      <c r="N7" s="11" t="s">
        <v>17</v>
      </c>
      <c r="O7" s="159">
        <f t="shared" si="5"/>
        <v>598.6231272000001</v>
      </c>
      <c r="P7" s="159">
        <f t="shared" si="6"/>
        <v>41.2843536</v>
      </c>
    </row>
    <row r="8" spans="1:16" ht="12.75">
      <c r="A8" t="str">
        <f>'FY2020'!A8</f>
        <v>Norm Daby </v>
      </c>
      <c r="B8" s="6">
        <f>'FY2020'!B8</f>
        <v>4</v>
      </c>
      <c r="C8" s="47">
        <v>40</v>
      </c>
      <c r="D8" s="8">
        <f>'FY2020'!D8</f>
        <v>20.5</v>
      </c>
      <c r="E8" s="8">
        <f t="shared" si="4"/>
        <v>20.8075</v>
      </c>
      <c r="F8" s="8">
        <f>E8*8*261</f>
        <v>43446.060000000005</v>
      </c>
      <c r="G8" s="8" t="str">
        <f t="shared" si="0"/>
        <v>0</v>
      </c>
      <c r="H8" s="41"/>
      <c r="I8" s="8">
        <f t="shared" si="1"/>
        <v>43446.060000000005</v>
      </c>
      <c r="J8" s="8">
        <f>I8/8/261</f>
        <v>20.8075</v>
      </c>
      <c r="K8" s="8">
        <f>'FY2020'!K9</f>
        <v>40674.24</v>
      </c>
      <c r="L8" s="158">
        <f t="shared" si="2"/>
        <v>0.015000000000000048</v>
      </c>
      <c r="M8" s="158">
        <f t="shared" si="3"/>
        <v>0.015000000000000048</v>
      </c>
      <c r="N8" s="11" t="s">
        <v>17</v>
      </c>
      <c r="O8" s="159">
        <f t="shared" si="5"/>
        <v>629.9678700000001</v>
      </c>
      <c r="P8" s="159">
        <f t="shared" si="6"/>
        <v>43.44606</v>
      </c>
    </row>
    <row r="9" spans="1:16" ht="12.75">
      <c r="A9" t="str">
        <f>'FY2020'!A9</f>
        <v>Curtis Neill (after probationary)</v>
      </c>
      <c r="B9" s="6">
        <f>'FY2020'!B9</f>
        <v>1</v>
      </c>
      <c r="C9" s="47">
        <v>40</v>
      </c>
      <c r="D9" s="8">
        <f>'FY2020'!D9</f>
        <v>19.48</v>
      </c>
      <c r="E9" s="8">
        <f t="shared" si="4"/>
        <v>19.7722</v>
      </c>
      <c r="F9" s="8">
        <f>E9*8*261</f>
        <v>41284.3536</v>
      </c>
      <c r="G9" s="8" t="str">
        <f t="shared" si="0"/>
        <v>0</v>
      </c>
      <c r="H9" s="41"/>
      <c r="I9" s="8">
        <f t="shared" si="1"/>
        <v>41284.3536</v>
      </c>
      <c r="J9" s="8">
        <f>I9/8/261</f>
        <v>19.7722</v>
      </c>
      <c r="K9" s="8">
        <f>'FY2020'!K8</f>
        <v>42804</v>
      </c>
      <c r="L9" s="158">
        <f t="shared" si="2"/>
        <v>0.015000000000000057</v>
      </c>
      <c r="M9" s="158">
        <f t="shared" si="3"/>
        <v>0.015000000000000057</v>
      </c>
      <c r="N9" s="11" t="s">
        <v>17</v>
      </c>
      <c r="O9" s="159">
        <f t="shared" si="5"/>
        <v>598.6231272000001</v>
      </c>
      <c r="P9" s="159">
        <f t="shared" si="6"/>
        <v>41.2843536</v>
      </c>
    </row>
    <row r="10" spans="1:16" ht="12.75">
      <c r="A10" t="s">
        <v>74</v>
      </c>
      <c r="B10" s="6"/>
      <c r="C10" s="47">
        <v>18</v>
      </c>
      <c r="D10" s="8">
        <f>'FY2020'!D10</f>
        <v>15.68</v>
      </c>
      <c r="E10" s="8">
        <f t="shared" si="4"/>
        <v>15.9152</v>
      </c>
      <c r="F10" s="8">
        <f>E10*18*52</f>
        <v>14896.627200000003</v>
      </c>
      <c r="G10" s="8" t="str">
        <f t="shared" si="0"/>
        <v>0</v>
      </c>
      <c r="H10" s="42"/>
      <c r="I10" s="8">
        <f t="shared" si="1"/>
        <v>14896.627200000003</v>
      </c>
      <c r="J10" s="8">
        <f>I10/18/52</f>
        <v>15.915200000000002</v>
      </c>
      <c r="K10" s="8">
        <f>'FY2020'!K10</f>
        <v>14676.48</v>
      </c>
      <c r="L10" s="158">
        <f t="shared" si="2"/>
        <v>0.01500000000000016</v>
      </c>
      <c r="M10" s="158">
        <f t="shared" si="3"/>
        <v>0.015000000000000048</v>
      </c>
      <c r="N10" s="11" t="s">
        <v>17</v>
      </c>
      <c r="O10" s="159">
        <f t="shared" si="5"/>
        <v>216.00109440000006</v>
      </c>
      <c r="P10" s="159">
        <f t="shared" si="6"/>
        <v>14.896627200000003</v>
      </c>
    </row>
    <row r="11" spans="1:16" ht="12.75">
      <c r="A11" t="s">
        <v>36</v>
      </c>
      <c r="B11" s="6"/>
      <c r="C11" s="47"/>
      <c r="D11" s="8"/>
      <c r="E11" s="8"/>
      <c r="F11" s="8">
        <f>I11</f>
        <v>21748.885704</v>
      </c>
      <c r="G11" s="8"/>
      <c r="H11" s="42"/>
      <c r="I11" s="13">
        <f>((I6+I7+I8+I9)*0.08)+((I6+I7+I8+I9)*0.05)</f>
        <v>21748.885704</v>
      </c>
      <c r="J11" s="8"/>
      <c r="K11" s="8">
        <f>'FY2020'!K11</f>
        <v>21427.4736</v>
      </c>
      <c r="L11" s="158"/>
      <c r="M11" s="158"/>
      <c r="N11" s="11" t="s">
        <v>17</v>
      </c>
      <c r="O11" s="159">
        <f t="shared" si="5"/>
        <v>315.358842708</v>
      </c>
      <c r="P11" s="159">
        <f t="shared" si="6"/>
        <v>21.748885704</v>
      </c>
    </row>
    <row r="12" spans="2:16" ht="12.75">
      <c r="B12" s="9"/>
      <c r="C12" s="47"/>
      <c r="D12" s="8"/>
      <c r="E12" s="8"/>
      <c r="F12" s="8"/>
      <c r="G12" s="8"/>
      <c r="H12" s="11"/>
      <c r="I12" s="8"/>
      <c r="J12" s="11"/>
      <c r="K12" s="8"/>
      <c r="L12" s="158"/>
      <c r="M12" s="158"/>
      <c r="N12" s="11"/>
      <c r="O12" s="159"/>
      <c r="P12" s="159"/>
    </row>
    <row r="13" spans="1:16" ht="12.75">
      <c r="A13" t="str">
        <f>'FY2020'!A13</f>
        <v>Jim Hicks</v>
      </c>
      <c r="B13" s="6">
        <f>'FY2020'!B13</f>
        <v>36</v>
      </c>
      <c r="C13" s="47">
        <v>40</v>
      </c>
      <c r="D13" s="8">
        <f>'FY2020'!D13</f>
        <v>31.67</v>
      </c>
      <c r="E13" s="8">
        <f t="shared" si="4"/>
        <v>32.145050000000005</v>
      </c>
      <c r="F13" s="8">
        <f>E13*8*261</f>
        <v>67118.8644</v>
      </c>
      <c r="G13" s="8" t="str">
        <f>IF(B13&gt;=25,"1000",IF(B13&gt;=20,"750",IF(B13&gt;=15,"500",IF(B13&gt;=10,"250","0"))))</f>
        <v>1000</v>
      </c>
      <c r="H13" s="41"/>
      <c r="I13" s="8">
        <f>F13+G13+H13</f>
        <v>68118.8644</v>
      </c>
      <c r="J13" s="8">
        <f>I13/8/261</f>
        <v>32.62397720306514</v>
      </c>
      <c r="K13" s="8">
        <f>'FY2020'!K13</f>
        <v>67126.96</v>
      </c>
      <c r="L13" s="158">
        <f>(J13-D13)/D13</f>
        <v>0.030122425104677497</v>
      </c>
      <c r="M13" s="158">
        <f>(E13-D13)/D13</f>
        <v>0.015000000000000097</v>
      </c>
      <c r="N13" s="11" t="s">
        <v>20</v>
      </c>
      <c r="O13" s="159">
        <v>0</v>
      </c>
      <c r="P13" s="159">
        <f t="shared" si="6"/>
        <v>68.1188644</v>
      </c>
    </row>
    <row r="14" spans="1:16" ht="12.75">
      <c r="A14" t="str">
        <f>'FY2020'!A14</f>
        <v>Kurt Gilmore</v>
      </c>
      <c r="B14" s="6">
        <f>'FY2020'!B14</f>
        <v>7</v>
      </c>
      <c r="C14" s="47">
        <v>40</v>
      </c>
      <c r="D14" s="8">
        <f>'FY2020'!D14</f>
        <v>25.85</v>
      </c>
      <c r="E14" s="8">
        <f t="shared" si="4"/>
        <v>26.237750000000002</v>
      </c>
      <c r="F14" s="8">
        <f>E14*8*261</f>
        <v>54784.422000000006</v>
      </c>
      <c r="G14" s="8" t="str">
        <f>IF(B14&gt;=25,"1000",IF(B14&gt;=20,"750",IF(B14&gt;=15,"500",IF(B14&gt;=10,"250","0"))))</f>
        <v>0</v>
      </c>
      <c r="H14" s="41"/>
      <c r="I14" s="8">
        <f>F14+G14+H14</f>
        <v>54784.422000000006</v>
      </c>
      <c r="J14" s="8">
        <f>I14/8/261</f>
        <v>26.237750000000002</v>
      </c>
      <c r="K14" s="8">
        <f>'FY2020'!K14</f>
        <v>53974.8</v>
      </c>
      <c r="L14" s="158">
        <f>(J14-D14)/D14</f>
        <v>0.015000000000000019</v>
      </c>
      <c r="M14" s="158">
        <f>(E14-D14)/D14</f>
        <v>0.015000000000000019</v>
      </c>
      <c r="N14" s="11" t="s">
        <v>17</v>
      </c>
      <c r="O14" s="159">
        <f t="shared" si="5"/>
        <v>794.3741190000002</v>
      </c>
      <c r="P14" s="159">
        <f t="shared" si="6"/>
        <v>54.784422000000006</v>
      </c>
    </row>
    <row r="15" spans="1:16" ht="12.75">
      <c r="A15" s="15" t="s">
        <v>21</v>
      </c>
      <c r="B15" s="16"/>
      <c r="C15" s="47" t="s">
        <v>87</v>
      </c>
      <c r="D15" s="8">
        <f>'FY2020'!D15</f>
        <v>18.46</v>
      </c>
      <c r="E15" s="8">
        <f t="shared" si="4"/>
        <v>18.736900000000002</v>
      </c>
      <c r="F15" s="8">
        <f>E15*2230</f>
        <v>41783.287000000004</v>
      </c>
      <c r="G15" s="8" t="str">
        <f>IF(B15&gt;=25,"1000",IF(B15&gt;=20,"750",IF(B15&gt;=15,"500",IF(B15&gt;=10,"250","0"))))</f>
        <v>0</v>
      </c>
      <c r="H15" s="42"/>
      <c r="I15" s="8">
        <f>F15+G15+H15</f>
        <v>41783.287000000004</v>
      </c>
      <c r="J15" s="8">
        <f>E15</f>
        <v>18.736900000000002</v>
      </c>
      <c r="K15" s="8">
        <f>'FY2020'!K15</f>
        <v>39212.89</v>
      </c>
      <c r="L15" s="158"/>
      <c r="M15" s="158">
        <f>(E15-D15)/D15</f>
        <v>0.015000000000000067</v>
      </c>
      <c r="N15" s="11" t="s">
        <v>17</v>
      </c>
      <c r="O15" s="159">
        <f t="shared" si="5"/>
        <v>605.8576615000001</v>
      </c>
      <c r="P15" s="159">
        <f t="shared" si="6"/>
        <v>41.783287</v>
      </c>
    </row>
    <row r="16" spans="1:16" ht="12.75">
      <c r="A16" s="15" t="s">
        <v>61</v>
      </c>
      <c r="B16" s="16"/>
      <c r="C16" s="47" t="s">
        <v>62</v>
      </c>
      <c r="D16" s="8"/>
      <c r="E16" s="8"/>
      <c r="F16" s="8">
        <f>I16</f>
        <v>6806.572493869732</v>
      </c>
      <c r="G16" s="8" t="str">
        <f>IF(B16&gt;=25,"1000",IF(B16&gt;=20,"750",IF(B16&gt;=15,"500",IF(B16&gt;=10,"250","0"))))</f>
        <v>0</v>
      </c>
      <c r="H16" s="42"/>
      <c r="I16" s="8">
        <f>B38</f>
        <v>6806.572493869732</v>
      </c>
      <c r="J16" s="8"/>
      <c r="K16" s="8">
        <f>'FY2020'!K16</f>
        <v>6706.605593869732</v>
      </c>
      <c r="L16" s="158"/>
      <c r="M16" s="158"/>
      <c r="N16" s="17" t="s">
        <v>17</v>
      </c>
      <c r="O16" s="159">
        <f t="shared" si="5"/>
        <v>98.69530116111112</v>
      </c>
      <c r="P16" s="159">
        <f t="shared" si="6"/>
        <v>6.806572493869733</v>
      </c>
    </row>
    <row r="17" spans="1:16" ht="12.75">
      <c r="A17" s="15" t="s">
        <v>55</v>
      </c>
      <c r="B17" s="16"/>
      <c r="C17" s="47"/>
      <c r="D17" s="8"/>
      <c r="E17" s="8"/>
      <c r="F17" s="8">
        <v>0</v>
      </c>
      <c r="G17" s="8"/>
      <c r="H17" s="42"/>
      <c r="I17" s="8">
        <v>0</v>
      </c>
      <c r="J17" s="8"/>
      <c r="K17" s="8">
        <f>'FY2020'!K17</f>
        <v>0</v>
      </c>
      <c r="L17" s="158"/>
      <c r="M17" s="158"/>
      <c r="N17" s="17"/>
      <c r="O17" s="159">
        <f t="shared" si="5"/>
        <v>0</v>
      </c>
      <c r="P17" s="159">
        <f t="shared" si="6"/>
        <v>0</v>
      </c>
    </row>
    <row r="18" spans="1:16" ht="12.75">
      <c r="A18" s="15"/>
      <c r="B18" s="16"/>
      <c r="C18" s="47"/>
      <c r="D18" s="8"/>
      <c r="E18" s="8"/>
      <c r="F18" s="8"/>
      <c r="G18" s="8"/>
      <c r="H18" s="42"/>
      <c r="I18" s="8"/>
      <c r="J18" s="8"/>
      <c r="K18" s="8"/>
      <c r="L18" s="158"/>
      <c r="M18" s="158"/>
      <c r="N18" s="17"/>
      <c r="O18" s="159"/>
      <c r="P18" s="159"/>
    </row>
    <row r="19" spans="1:16" ht="12.75">
      <c r="A19" t="str">
        <f>'FY2020'!A19</f>
        <v>Dan Fleuriel</v>
      </c>
      <c r="B19" s="6">
        <f>'FY2020'!B19</f>
        <v>38</v>
      </c>
      <c r="C19" s="47">
        <v>40</v>
      </c>
      <c r="D19" s="8">
        <f>'FY2020'!D19</f>
        <v>28.01</v>
      </c>
      <c r="E19" s="8">
        <f t="shared" si="4"/>
        <v>28.43015</v>
      </c>
      <c r="F19" s="8">
        <f>E19*8*261</f>
        <v>59362.1532</v>
      </c>
      <c r="G19" s="41" t="str">
        <f>IF(B19&gt;=25,"1000",IF(B19&gt;=20,"750",IF(B19&gt;=15,"500",IF(B19&gt;=10,"250","0"))))</f>
        <v>1000</v>
      </c>
      <c r="H19" s="41">
        <v>1500</v>
      </c>
      <c r="I19" s="8">
        <f>F19+G19+H19</f>
        <v>61862.1532</v>
      </c>
      <c r="J19" s="8">
        <f>I19/8/261</f>
        <v>29.627468007662834</v>
      </c>
      <c r="K19" s="8">
        <f>'FY2020'!K19</f>
        <v>60984.880000000005</v>
      </c>
      <c r="L19" s="158">
        <f>(J19-D19)/D19</f>
        <v>0.057746090955474214</v>
      </c>
      <c r="M19" s="158">
        <f>(E19-D19)/D19</f>
        <v>0.014999999999999984</v>
      </c>
      <c r="N19" s="11" t="s">
        <v>20</v>
      </c>
      <c r="O19" s="159">
        <v>0</v>
      </c>
      <c r="P19" s="159">
        <f t="shared" si="6"/>
        <v>61.8621532</v>
      </c>
    </row>
    <row r="20" spans="1:16" ht="12.75">
      <c r="A20" t="str">
        <f>'FY2020'!A20</f>
        <v>Matthew Ahearn</v>
      </c>
      <c r="B20" s="6">
        <f>'FY2020'!B20</f>
        <v>3</v>
      </c>
      <c r="C20" s="47">
        <v>40</v>
      </c>
      <c r="D20" s="8">
        <f>'FY2020'!D20</f>
        <v>21.85</v>
      </c>
      <c r="E20" s="8">
        <f t="shared" si="4"/>
        <v>22.177750000000003</v>
      </c>
      <c r="F20" s="8">
        <f>E20*8*261</f>
        <v>46307.14200000001</v>
      </c>
      <c r="G20" s="8" t="str">
        <f>IF(B20&gt;=25,"1000",IF(B20&gt;=20,"750",IF(B20&gt;=15,"500",IF(B20&gt;=10,"250","0"))))</f>
        <v>0</v>
      </c>
      <c r="H20" s="41">
        <v>1000</v>
      </c>
      <c r="I20" s="8">
        <f>F20+G20+H20</f>
        <v>47307.14200000001</v>
      </c>
      <c r="J20" s="8">
        <f>I20/8/261</f>
        <v>22.656677203065136</v>
      </c>
      <c r="K20" s="8">
        <f>'FY2020'!K20</f>
        <v>46622.8</v>
      </c>
      <c r="L20" s="158">
        <f>(J20-D20)/D20</f>
        <v>0.03691886512883913</v>
      </c>
      <c r="M20" s="158">
        <f>(E20-D20)/D20</f>
        <v>0.01500000000000008</v>
      </c>
      <c r="N20" s="11" t="s">
        <v>17</v>
      </c>
      <c r="O20" s="159">
        <f t="shared" si="5"/>
        <v>685.9535590000002</v>
      </c>
      <c r="P20" s="159">
        <f t="shared" si="6"/>
        <v>47.307142000000006</v>
      </c>
    </row>
    <row r="21" spans="1:16" ht="12.75">
      <c r="A21" t="s">
        <v>23</v>
      </c>
      <c r="B21" s="6"/>
      <c r="C21" s="47"/>
      <c r="D21" s="8"/>
      <c r="E21" s="8"/>
      <c r="F21" s="8">
        <f>(182*J19)+(182*J20)</f>
        <v>9515.71442835249</v>
      </c>
      <c r="G21" s="8"/>
      <c r="H21" s="41"/>
      <c r="I21" s="8">
        <v>10846</v>
      </c>
      <c r="J21" s="8"/>
      <c r="K21" s="8">
        <f>'FY2020'!K21</f>
        <v>9379.59662835249</v>
      </c>
      <c r="L21" s="158"/>
      <c r="M21" s="158"/>
      <c r="N21" s="11" t="s">
        <v>17</v>
      </c>
      <c r="O21" s="159">
        <f t="shared" si="5"/>
        <v>157.267</v>
      </c>
      <c r="P21" s="159">
        <f t="shared" si="6"/>
        <v>10.846</v>
      </c>
    </row>
    <row r="22" spans="2:16" ht="12.75">
      <c r="B22" s="6"/>
      <c r="C22" s="47"/>
      <c r="D22" s="8"/>
      <c r="E22" s="8"/>
      <c r="F22" s="8"/>
      <c r="G22" s="8"/>
      <c r="H22" s="41"/>
      <c r="I22" s="8"/>
      <c r="J22" s="8"/>
      <c r="K22" s="8"/>
      <c r="L22" s="158"/>
      <c r="M22" s="158"/>
      <c r="N22" s="11"/>
      <c r="O22" s="159"/>
      <c r="P22" s="159"/>
    </row>
    <row r="23" spans="1:16" ht="12.75">
      <c r="A23" t="str">
        <f>'FY2020'!A23</f>
        <v>Town Administrator (old rate, from contract)</v>
      </c>
      <c r="B23" s="6">
        <f>'FY2020'!B23</f>
        <v>0</v>
      </c>
      <c r="C23" s="47">
        <v>40</v>
      </c>
      <c r="D23" s="8">
        <f>'FY2020'!D23</f>
        <v>32.56704980842912</v>
      </c>
      <c r="E23" s="8">
        <f>'FY2020'!E23</f>
        <v>34.00383141762452</v>
      </c>
      <c r="F23" s="8">
        <f>'FY2020'!F23</f>
        <v>71000</v>
      </c>
      <c r="G23" s="41">
        <v>0</v>
      </c>
      <c r="H23" s="41"/>
      <c r="I23" s="8">
        <f>F23+G23+H23</f>
        <v>71000</v>
      </c>
      <c r="J23" s="8">
        <f>I23/8/261</f>
        <v>34.00383141762452</v>
      </c>
      <c r="K23" s="8">
        <v>68000</v>
      </c>
      <c r="L23" s="158">
        <f>(J23-D23)/D23</f>
        <v>0.04411764705882345</v>
      </c>
      <c r="M23" s="158">
        <f>(E23-D23)/D23</f>
        <v>0.04411764705882345</v>
      </c>
      <c r="N23" s="11" t="s">
        <v>17</v>
      </c>
      <c r="O23" s="159">
        <f t="shared" si="5"/>
        <v>1029.5</v>
      </c>
      <c r="P23" s="159">
        <f t="shared" si="6"/>
        <v>71</v>
      </c>
    </row>
    <row r="24" spans="1:16" ht="12.75">
      <c r="A24" t="str">
        <f>'FY2020'!A24</f>
        <v>Lisa Blackmer</v>
      </c>
      <c r="B24" s="6">
        <f>'FY2020'!B24</f>
        <v>4</v>
      </c>
      <c r="C24" s="177">
        <v>37.5</v>
      </c>
      <c r="D24" s="8">
        <f>'FY2020'!D24</f>
        <v>24.77</v>
      </c>
      <c r="E24" s="8">
        <f t="shared" si="4"/>
        <v>25.14155</v>
      </c>
      <c r="F24" s="8">
        <f>E24*7.5*261</f>
        <v>49214.584125</v>
      </c>
      <c r="G24" s="8" t="str">
        <f>IF(B24&gt;=25,"1000",IF(B24&gt;=20,"750",IF(B24&gt;=15,"500",IF(B24&gt;=10,"250","0"))))</f>
        <v>0</v>
      </c>
      <c r="H24" s="41"/>
      <c r="I24" s="8">
        <f>F24+G24+H24</f>
        <v>49214.584125</v>
      </c>
      <c r="J24" s="8">
        <f>I24/7.5/261</f>
        <v>25.141550000000002</v>
      </c>
      <c r="K24" s="8">
        <f>'FY2020'!K24</f>
        <v>48487.275</v>
      </c>
      <c r="L24" s="158">
        <f>(J24-D24)/D24</f>
        <v>0.01500000000000011</v>
      </c>
      <c r="M24" s="158">
        <f>(E24-D24)/D24</f>
        <v>0.014999999999999966</v>
      </c>
      <c r="N24" s="11" t="s">
        <v>17</v>
      </c>
      <c r="O24" s="159">
        <f t="shared" si="5"/>
        <v>713.6114698125001</v>
      </c>
      <c r="P24" s="159">
        <f t="shared" si="6"/>
        <v>49.214584125</v>
      </c>
    </row>
    <row r="25" spans="1:16" ht="12.75">
      <c r="A25" t="str">
        <f>'FY2020'!A25</f>
        <v>Pam Guyette</v>
      </c>
      <c r="B25" s="6">
        <f>'FY2020'!B25</f>
        <v>12</v>
      </c>
      <c r="C25" s="47">
        <v>28</v>
      </c>
      <c r="D25" s="8">
        <f>'FY2020'!D25</f>
        <v>22.41</v>
      </c>
      <c r="E25" s="8">
        <f t="shared" si="4"/>
        <v>22.74615</v>
      </c>
      <c r="F25" s="8">
        <f>(E25*5.6*261)</f>
        <v>33245.77284</v>
      </c>
      <c r="G25" s="8" t="str">
        <f>IF(B25&gt;=25,"1000",IF(B25&gt;=20,"750",IF(B25&gt;=15,"500",IF(B25&gt;=10,"250","0"))))</f>
        <v>250</v>
      </c>
      <c r="H25" s="41"/>
      <c r="I25" s="8">
        <f>F25+G25+H25</f>
        <v>33495.77284</v>
      </c>
      <c r="J25" s="8">
        <f>E25</f>
        <v>22.74615</v>
      </c>
      <c r="K25" s="8">
        <f>'FY2020'!K25</f>
        <v>32754.456</v>
      </c>
      <c r="L25" s="158">
        <f>(J25-D25)/D25</f>
        <v>0.014999999999999998</v>
      </c>
      <c r="M25" s="158">
        <f>(E25-D25)/D25</f>
        <v>0.014999999999999998</v>
      </c>
      <c r="N25" s="11" t="s">
        <v>17</v>
      </c>
      <c r="O25" s="159">
        <f t="shared" si="5"/>
        <v>485.68870618</v>
      </c>
      <c r="P25" s="159">
        <f t="shared" si="6"/>
        <v>33.49577284</v>
      </c>
    </row>
    <row r="26" spans="1:16" ht="12.75">
      <c r="A26" s="15" t="str">
        <f>'FY2020'!A26</f>
        <v>Sherry Clark</v>
      </c>
      <c r="B26" s="16">
        <f>'FY2020'!B26</f>
        <v>18</v>
      </c>
      <c r="C26" s="47">
        <v>40</v>
      </c>
      <c r="D26" s="8">
        <f>'FY2020'!D26</f>
        <v>20.17</v>
      </c>
      <c r="E26" s="8">
        <f t="shared" si="4"/>
        <v>20.472550000000002</v>
      </c>
      <c r="F26" s="8">
        <f>E26*8*261</f>
        <v>42746.684400000006</v>
      </c>
      <c r="G26" s="8" t="str">
        <f>IF(B26&gt;=25,"1000",IF(B26&gt;=20,"750",IF(B26&gt;=15,"500",IF(B26&gt;=10,"250","0"))))</f>
        <v>500</v>
      </c>
      <c r="H26" s="42"/>
      <c r="I26" s="8">
        <f>F26+G26+H26</f>
        <v>43246.684400000006</v>
      </c>
      <c r="J26" s="8">
        <f>I26/8/261</f>
        <v>20.71201360153257</v>
      </c>
      <c r="K26" s="13">
        <f>'FY2020'!K26</f>
        <v>42614.96000000001</v>
      </c>
      <c r="L26" s="158">
        <f>(J26-D26)/D26</f>
        <v>0.026872265817182283</v>
      </c>
      <c r="M26" s="158">
        <f>(E26-D26)/D26</f>
        <v>0.015000000000000003</v>
      </c>
      <c r="N26" s="17" t="s">
        <v>17</v>
      </c>
      <c r="O26" s="159">
        <f t="shared" si="5"/>
        <v>627.0769238000001</v>
      </c>
      <c r="P26" s="159">
        <f t="shared" si="6"/>
        <v>43.24668440000001</v>
      </c>
    </row>
    <row r="27" spans="1:16" ht="12.75">
      <c r="A27" s="35" t="s">
        <v>92</v>
      </c>
      <c r="B27" s="31"/>
      <c r="C27" s="49" t="s">
        <v>91</v>
      </c>
      <c r="D27" s="8">
        <v>8500</v>
      </c>
      <c r="E27" s="8"/>
      <c r="F27" s="32">
        <v>7500</v>
      </c>
      <c r="G27" s="8"/>
      <c r="H27" s="43"/>
      <c r="I27" s="32">
        <f>F27</f>
        <v>7500</v>
      </c>
      <c r="J27" s="8"/>
      <c r="K27" s="32">
        <v>7500</v>
      </c>
      <c r="L27" s="158"/>
      <c r="M27" s="158"/>
      <c r="N27" s="33" t="s">
        <v>17</v>
      </c>
      <c r="O27" s="159">
        <f t="shared" si="5"/>
        <v>108.75</v>
      </c>
      <c r="P27" s="159">
        <f t="shared" si="6"/>
        <v>7.5</v>
      </c>
    </row>
    <row r="28" spans="1:16" ht="12.75">
      <c r="A28" s="35" t="s">
        <v>45</v>
      </c>
      <c r="B28" s="31"/>
      <c r="C28" s="49"/>
      <c r="D28" s="8">
        <v>16464.01</v>
      </c>
      <c r="E28" s="8"/>
      <c r="F28" s="32">
        <v>0</v>
      </c>
      <c r="G28" s="8"/>
      <c r="H28" s="43"/>
      <c r="I28" s="162">
        <f>F28</f>
        <v>0</v>
      </c>
      <c r="J28" s="8"/>
      <c r="K28" s="162">
        <f>'FY2020'!K28</f>
        <v>0</v>
      </c>
      <c r="L28" s="158"/>
      <c r="M28" s="158"/>
      <c r="N28" s="33" t="s">
        <v>17</v>
      </c>
      <c r="O28" s="159">
        <f t="shared" si="5"/>
        <v>0</v>
      </c>
      <c r="P28" s="159">
        <f t="shared" si="6"/>
        <v>0</v>
      </c>
    </row>
    <row r="29" spans="1:16" ht="12.75">
      <c r="A29" s="30" t="s">
        <v>66</v>
      </c>
      <c r="B29" s="31">
        <f>'FY2020'!B29</f>
        <v>2</v>
      </c>
      <c r="C29" s="181">
        <v>18.5</v>
      </c>
      <c r="D29" s="32">
        <f>'FY2020'!D29</f>
        <v>19.48</v>
      </c>
      <c r="E29" s="8">
        <f t="shared" si="4"/>
        <v>19.7722</v>
      </c>
      <c r="F29" s="8">
        <f>E29*3.7*261</f>
        <v>19094.013540000004</v>
      </c>
      <c r="G29" s="8" t="str">
        <f>IF(B29&gt;=25,"1000",IF(B29&gt;=20,"750",IF(B29&gt;=15,"500",IF(B29&gt;=10,"250","0"))))</f>
        <v>0</v>
      </c>
      <c r="H29" s="43"/>
      <c r="I29" s="32">
        <f>F29</f>
        <v>19094.013540000004</v>
      </c>
      <c r="J29" s="8">
        <f>I29/3.7/261</f>
        <v>19.7722</v>
      </c>
      <c r="K29" s="32">
        <f>'FY2020'!K29</f>
        <v>18811.836000000003</v>
      </c>
      <c r="L29" s="158">
        <f>(J29-D29)/D29</f>
        <v>0.015000000000000057</v>
      </c>
      <c r="M29" s="158">
        <f>(E29-D29)/D29</f>
        <v>0.015000000000000057</v>
      </c>
      <c r="N29" s="33" t="s">
        <v>17</v>
      </c>
      <c r="O29" s="159">
        <f t="shared" si="5"/>
        <v>276.86319633000005</v>
      </c>
      <c r="P29" s="159">
        <f t="shared" si="6"/>
        <v>19.094013540000002</v>
      </c>
    </row>
    <row r="30" spans="1:16" ht="12.75">
      <c r="A30" s="35" t="s">
        <v>78</v>
      </c>
      <c r="B30" s="31"/>
      <c r="C30" s="176" t="s">
        <v>97</v>
      </c>
      <c r="D30" s="32">
        <f>'FY2020'!D30</f>
        <v>13.66</v>
      </c>
      <c r="E30" s="8">
        <f t="shared" si="4"/>
        <v>13.8649</v>
      </c>
      <c r="F30" s="8">
        <f>(166*E30)</f>
        <v>2301.5734</v>
      </c>
      <c r="G30" s="32"/>
      <c r="H30" s="43"/>
      <c r="I30" s="32">
        <f>F30</f>
        <v>2301.5734</v>
      </c>
      <c r="J30" s="8">
        <f>E30</f>
        <v>13.8649</v>
      </c>
      <c r="K30" s="32">
        <f>'FY2020'!K30</f>
        <v>2158</v>
      </c>
      <c r="L30" s="158">
        <f>(J30-D30)/D30</f>
        <v>0.015000000000000022</v>
      </c>
      <c r="M30" s="158">
        <f>(E30-D30)/D30</f>
        <v>0.015000000000000022</v>
      </c>
      <c r="N30" s="33" t="s">
        <v>17</v>
      </c>
      <c r="O30" s="159">
        <f t="shared" si="5"/>
        <v>33.3728143</v>
      </c>
      <c r="P30" s="159">
        <f t="shared" si="6"/>
        <v>2.3015734</v>
      </c>
    </row>
    <row r="31" spans="1:16" ht="12.75">
      <c r="A31" s="35" t="s">
        <v>42</v>
      </c>
      <c r="B31" s="31"/>
      <c r="C31" s="48"/>
      <c r="D31" s="163"/>
      <c r="E31" s="163"/>
      <c r="F31" s="32">
        <v>3981</v>
      </c>
      <c r="G31" s="32"/>
      <c r="H31" s="43"/>
      <c r="I31" s="32">
        <v>4080</v>
      </c>
      <c r="J31" s="32"/>
      <c r="K31" s="32">
        <f>'FY2020'!K31</f>
        <v>3981</v>
      </c>
      <c r="L31" s="158"/>
      <c r="M31" s="164"/>
      <c r="N31" s="33" t="s">
        <v>17</v>
      </c>
      <c r="O31" s="159">
        <f t="shared" si="5"/>
        <v>59.160000000000004</v>
      </c>
      <c r="P31" s="159">
        <f t="shared" si="6"/>
        <v>4.08</v>
      </c>
    </row>
    <row r="32" spans="1:16" ht="12.75">
      <c r="A32" s="35" t="s">
        <v>43</v>
      </c>
      <c r="B32" s="31"/>
      <c r="C32" s="48"/>
      <c r="D32" s="163"/>
      <c r="E32" s="163"/>
      <c r="F32" s="32">
        <v>55000</v>
      </c>
      <c r="G32" s="32"/>
      <c r="H32" s="43"/>
      <c r="I32" s="32">
        <v>55000</v>
      </c>
      <c r="J32" s="32"/>
      <c r="K32" s="32">
        <f>'FY2020'!K32</f>
        <v>55000</v>
      </c>
      <c r="L32" s="158"/>
      <c r="M32" s="164"/>
      <c r="N32" s="33" t="s">
        <v>17</v>
      </c>
      <c r="O32" s="159">
        <f t="shared" si="5"/>
        <v>797.5</v>
      </c>
      <c r="P32" s="159">
        <f t="shared" si="6"/>
        <v>55</v>
      </c>
    </row>
    <row r="33" spans="1:16" ht="13.5" thickBot="1">
      <c r="A33" s="144" t="s">
        <v>37</v>
      </c>
      <c r="B33" s="145"/>
      <c r="C33" s="146"/>
      <c r="D33" s="165"/>
      <c r="E33" s="165"/>
      <c r="F33" s="147">
        <v>51971.59</v>
      </c>
      <c r="G33" s="147"/>
      <c r="H33" s="148"/>
      <c r="I33" s="147">
        <f>F33</f>
        <v>51971.59</v>
      </c>
      <c r="J33" s="147"/>
      <c r="K33" s="147">
        <f>'FY2020'!K33</f>
        <v>51406</v>
      </c>
      <c r="L33" s="166"/>
      <c r="M33" s="167"/>
      <c r="N33" s="149" t="s">
        <v>17</v>
      </c>
      <c r="O33" s="169">
        <f>I33*0.017</f>
        <v>883.51703</v>
      </c>
      <c r="P33" s="169">
        <f t="shared" si="6"/>
        <v>51.97159</v>
      </c>
    </row>
    <row r="34" spans="1:16" ht="12.75">
      <c r="A34" s="19" t="s">
        <v>24</v>
      </c>
      <c r="B34" s="7"/>
      <c r="C34" s="47"/>
      <c r="D34" s="8"/>
      <c r="E34" s="8"/>
      <c r="F34" s="8">
        <f>SUM(F5:F33)-F32</f>
        <v>830040.1607312224</v>
      </c>
      <c r="G34" s="13"/>
      <c r="H34" s="42"/>
      <c r="I34" s="8">
        <f>SUM(I5:I33)-I32</f>
        <v>839469.4463028698</v>
      </c>
      <c r="J34" s="8"/>
      <c r="K34" s="8">
        <f>SUM(K5:K33)-K32</f>
        <v>819069.3328222223</v>
      </c>
      <c r="L34" s="158"/>
      <c r="M34" s="158"/>
      <c r="N34" s="11"/>
      <c r="O34" s="8">
        <f>SUM(O5:O33)</f>
        <v>11215.011191191614</v>
      </c>
      <c r="P34" s="8">
        <f>SUM(P5:P33)</f>
        <v>894.4694463028699</v>
      </c>
    </row>
    <row r="35" spans="2:16" ht="13.5" thickBot="1">
      <c r="B35" s="9"/>
      <c r="C35" s="47"/>
      <c r="G35" s="8"/>
      <c r="H35" s="11"/>
      <c r="L35" s="10"/>
      <c r="M35" s="10"/>
      <c r="N35" s="11"/>
      <c r="O35" s="4"/>
      <c r="P35" s="51"/>
    </row>
    <row r="36" spans="1:16" ht="12.75">
      <c r="A36" t="s">
        <v>25</v>
      </c>
      <c r="B36" s="7">
        <f>J14*1.5*100</f>
        <v>3935.6625</v>
      </c>
      <c r="C36" s="50" t="s">
        <v>47</v>
      </c>
      <c r="D36" s="5" t="s">
        <v>108</v>
      </c>
      <c r="E36" s="5"/>
      <c r="F36" s="25"/>
      <c r="G36" s="8"/>
      <c r="H36" s="11"/>
      <c r="L36" s="8"/>
      <c r="M36" s="52"/>
      <c r="N36" s="53"/>
      <c r="O36" s="54" t="s">
        <v>122</v>
      </c>
      <c r="P36" s="55">
        <f>(I34-K34)</f>
        <v>20400.11348064756</v>
      </c>
    </row>
    <row r="37" spans="1:16" ht="13.5" thickBot="1">
      <c r="A37" t="s">
        <v>26</v>
      </c>
      <c r="B37" s="66">
        <f>(J13)*8*11</f>
        <v>2870.9099938697323</v>
      </c>
      <c r="C37" s="47" t="s">
        <v>48</v>
      </c>
      <c r="D37" s="9">
        <f>I26+I25+(0.9*I24)+(0.9*I23)</f>
        <v>184935.5829525</v>
      </c>
      <c r="E37" s="9"/>
      <c r="F37" s="21" t="s">
        <v>50</v>
      </c>
      <c r="G37" s="8"/>
      <c r="H37" s="11"/>
      <c r="L37" s="8"/>
      <c r="M37" s="56"/>
      <c r="N37" s="44"/>
      <c r="O37" s="44"/>
      <c r="P37" s="57"/>
    </row>
    <row r="38" spans="1:16" ht="12.75">
      <c r="A38" s="19" t="s">
        <v>1</v>
      </c>
      <c r="B38" s="22">
        <f>SUM(B36:B37)</f>
        <v>6806.572493869732</v>
      </c>
      <c r="C38" s="47" t="s">
        <v>29</v>
      </c>
      <c r="D38" s="9">
        <f>(0.67*((0.9*I5)+I6+I7+I8+I9))+((I6+I7+I8+I9)*0.05)</f>
        <v>157908.9953556</v>
      </c>
      <c r="E38" s="9"/>
      <c r="F38" s="29" t="s">
        <v>68</v>
      </c>
      <c r="G38" s="8"/>
      <c r="H38" s="11"/>
      <c r="L38" s="10"/>
      <c r="M38" s="186" t="s">
        <v>112</v>
      </c>
      <c r="N38" s="187"/>
      <c r="O38" s="187"/>
      <c r="P38" s="129">
        <f>P34-P39</f>
        <v>774.4541511028699</v>
      </c>
    </row>
    <row r="39" spans="1:16" ht="12.75">
      <c r="A39" s="14"/>
      <c r="B39" s="7"/>
      <c r="C39" s="47" t="s">
        <v>49</v>
      </c>
      <c r="D39" s="9">
        <f>((0.9*I5)*0.33)+(0.33*(I6+I7+I8+I9))+((I6+I7+I8+I9)*0.08)</f>
        <v>87039.9490284</v>
      </c>
      <c r="E39" s="9"/>
      <c r="F39" s="29" t="s">
        <v>69</v>
      </c>
      <c r="G39" s="8"/>
      <c r="H39" s="11"/>
      <c r="L39" s="8"/>
      <c r="M39" s="58"/>
      <c r="N39" s="187" t="s">
        <v>71</v>
      </c>
      <c r="O39" s="187"/>
      <c r="P39" s="133">
        <f>P19+P20+P21</f>
        <v>120.01529520000001</v>
      </c>
    </row>
    <row r="40" spans="1:16" ht="12.75">
      <c r="A40" s="19"/>
      <c r="B40" s="7"/>
      <c r="C40" s="47" t="s">
        <v>30</v>
      </c>
      <c r="D40" s="9">
        <f>I10+(0.1*I5)</f>
        <v>21107.842520000002</v>
      </c>
      <c r="E40" s="9"/>
      <c r="F40" s="21" t="s">
        <v>70</v>
      </c>
      <c r="G40" s="8"/>
      <c r="H40" s="11"/>
      <c r="L40" s="8"/>
      <c r="M40" s="56"/>
      <c r="N40" s="185" t="s">
        <v>73</v>
      </c>
      <c r="O40" s="188"/>
      <c r="P40" s="59">
        <f>150000*0.001</f>
        <v>150</v>
      </c>
    </row>
    <row r="41" spans="1:16" ht="12.75">
      <c r="A41" s="19"/>
      <c r="B41" s="7"/>
      <c r="C41" s="47" t="s">
        <v>31</v>
      </c>
      <c r="D41" s="9">
        <f>I13+I14+I15+I16</f>
        <v>171493.14589386975</v>
      </c>
      <c r="E41" s="9"/>
      <c r="F41" s="21" t="s">
        <v>32</v>
      </c>
      <c r="G41" s="8"/>
      <c r="H41" s="11"/>
      <c r="L41" s="8"/>
      <c r="M41" s="60"/>
      <c r="N41" s="61"/>
      <c r="O41" s="44" t="s">
        <v>27</v>
      </c>
      <c r="P41" s="134">
        <f>SUM(P38:P40)</f>
        <v>1044.46944630287</v>
      </c>
    </row>
    <row r="42" spans="1:16" ht="12.75">
      <c r="A42" s="23" t="s">
        <v>28</v>
      </c>
      <c r="B42" s="7">
        <f>(I6+I7+I8+I9)*0.13</f>
        <v>21748.885704</v>
      </c>
      <c r="C42" s="47" t="s">
        <v>33</v>
      </c>
      <c r="D42" s="18">
        <f>I19+I20+I21+(0.1*I23)+(0.1*I24)</f>
        <v>132036.7536125</v>
      </c>
      <c r="E42" s="18"/>
      <c r="F42" s="21" t="s">
        <v>51</v>
      </c>
      <c r="G42" s="8"/>
      <c r="H42" s="11"/>
      <c r="L42" s="8"/>
      <c r="M42" s="63"/>
      <c r="N42" s="44"/>
      <c r="O42" s="44"/>
      <c r="P42" s="64"/>
    </row>
    <row r="43" spans="1:16" ht="12.75">
      <c r="A43" s="23"/>
      <c r="B43" s="22"/>
      <c r="C43" s="47" t="s">
        <v>46</v>
      </c>
      <c r="D43" s="18">
        <f>I27+I28</f>
        <v>7500</v>
      </c>
      <c r="E43" s="18"/>
      <c r="F43" s="21" t="s">
        <v>65</v>
      </c>
      <c r="G43" s="8"/>
      <c r="H43" s="11"/>
      <c r="L43" s="8"/>
      <c r="M43" s="63"/>
      <c r="N43" s="44"/>
      <c r="O43" s="44"/>
      <c r="P43" s="57"/>
    </row>
    <row r="44" spans="1:16" ht="12.75">
      <c r="A44" s="19"/>
      <c r="B44" s="7"/>
      <c r="C44" s="47" t="s">
        <v>40</v>
      </c>
      <c r="D44" s="9">
        <f>SUM(I29:I30)</f>
        <v>21395.586940000005</v>
      </c>
      <c r="E44" s="9"/>
      <c r="F44" s="21" t="s">
        <v>77</v>
      </c>
      <c r="G44" s="8"/>
      <c r="H44" s="11"/>
      <c r="L44" s="8"/>
      <c r="M44" s="60"/>
      <c r="N44" s="61" t="s">
        <v>53</v>
      </c>
      <c r="O44" s="61"/>
      <c r="P44" s="64">
        <f>SUM(O34-O44)</f>
        <v>11215.011191191614</v>
      </c>
    </row>
    <row r="45" spans="2:16" ht="12.75">
      <c r="B45" s="9"/>
      <c r="C45" s="47" t="s">
        <v>102</v>
      </c>
      <c r="D45" s="9">
        <f>I31</f>
        <v>4080</v>
      </c>
      <c r="E45" s="9"/>
      <c r="F45" s="21" t="s">
        <v>99</v>
      </c>
      <c r="G45" s="8"/>
      <c r="H45" s="8"/>
      <c r="I45" s="69"/>
      <c r="J45" s="69"/>
      <c r="K45" s="70"/>
      <c r="L45" s="70"/>
      <c r="M45" s="60"/>
      <c r="N45" s="61" t="s">
        <v>52</v>
      </c>
      <c r="O45" s="61"/>
      <c r="P45" s="62">
        <f>O19+O20+O21</f>
        <v>843.2205590000001</v>
      </c>
    </row>
    <row r="46" spans="2:16" ht="13.5" thickBot="1">
      <c r="B46" s="9"/>
      <c r="C46" s="151" t="s">
        <v>103</v>
      </c>
      <c r="D46" s="150">
        <f>I33</f>
        <v>51971.59</v>
      </c>
      <c r="E46" s="44"/>
      <c r="F46" s="178" t="s">
        <v>105</v>
      </c>
      <c r="G46" s="8"/>
      <c r="H46" s="8"/>
      <c r="I46" s="7"/>
      <c r="J46" s="7"/>
      <c r="K46" s="12"/>
      <c r="L46" s="20"/>
      <c r="M46" s="65"/>
      <c r="N46" s="66"/>
      <c r="O46" s="66" t="s">
        <v>27</v>
      </c>
      <c r="P46" s="67">
        <f>SUM(P44+P45)</f>
        <v>12058.231750191613</v>
      </c>
    </row>
    <row r="47" spans="1:16" ht="12.75">
      <c r="A47" s="24"/>
      <c r="B47" s="24"/>
      <c r="C47" s="47" t="s">
        <v>34</v>
      </c>
      <c r="D47" s="44">
        <f>SUM(D37:D46)</f>
        <v>839469.4463028697</v>
      </c>
      <c r="E47" s="7"/>
      <c r="F47" s="14" t="s">
        <v>119</v>
      </c>
      <c r="G47" s="13">
        <f>38648.65*1.015</f>
        <v>39228.37975</v>
      </c>
      <c r="H47" s="5"/>
      <c r="I47" s="25"/>
      <c r="J47" s="25"/>
      <c r="K47" s="68"/>
      <c r="L47" s="26"/>
      <c r="M47" s="136"/>
      <c r="N47" s="5"/>
      <c r="O47" s="27"/>
      <c r="P47" s="28"/>
    </row>
    <row r="48" spans="2:16" ht="12.75">
      <c r="B48" s="9"/>
      <c r="C48" s="47"/>
      <c r="D48" s="7"/>
      <c r="E48" s="7"/>
      <c r="F48" s="7"/>
      <c r="G48" s="8"/>
      <c r="H48" s="8"/>
      <c r="I48" s="7"/>
      <c r="J48" s="7"/>
      <c r="K48" s="51"/>
      <c r="L48" s="20"/>
      <c r="M48" s="20"/>
      <c r="N48" s="8"/>
      <c r="O48" s="27"/>
      <c r="P48" s="9"/>
    </row>
  </sheetData>
  <sheetProtection/>
  <mergeCells count="3">
    <mergeCell ref="M38:O38"/>
    <mergeCell ref="N39:O39"/>
    <mergeCell ref="N40:O40"/>
  </mergeCells>
  <printOptions gridLines="1" horizontalCentered="1" verticalCentered="1"/>
  <pageMargins left="0.25" right="0" top="0.75" bottom="0.25" header="0.5" footer="0.5"/>
  <pageSetup horizontalDpi="600" verticalDpi="600" orientation="landscape" paperSize="5" scale="90" r:id="rId1"/>
  <headerFooter alignWithMargins="0">
    <oddHeader>&amp;LSalary FY 2020 1.5%
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0">
      <selection activeCell="F7" sqref="F7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6" width="11.7109375" style="0" customWidth="1"/>
    <col min="7" max="8" width="10.7109375" style="0" customWidth="1"/>
    <col min="9" max="11" width="11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2.7109375" style="0" customWidth="1"/>
  </cols>
  <sheetData>
    <row r="1" spans="1:16" ht="12.75">
      <c r="A1" s="135">
        <v>0.02</v>
      </c>
      <c r="B1" s="2"/>
      <c r="C1" s="45" t="s">
        <v>58</v>
      </c>
      <c r="D1" s="1" t="s">
        <v>107</v>
      </c>
      <c r="E1" s="1" t="s">
        <v>113</v>
      </c>
      <c r="F1" s="1" t="s">
        <v>113</v>
      </c>
      <c r="G1" s="1"/>
      <c r="H1" s="1"/>
      <c r="I1" s="1" t="s">
        <v>114</v>
      </c>
      <c r="J1" s="1" t="s">
        <v>114</v>
      </c>
      <c r="K1" s="1" t="s">
        <v>108</v>
      </c>
      <c r="L1" s="1"/>
      <c r="M1" s="3"/>
      <c r="N1" s="1"/>
      <c r="O1" s="34"/>
      <c r="P1" s="1"/>
    </row>
    <row r="2" spans="1:15" ht="12.75">
      <c r="A2" s="1"/>
      <c r="B2" s="2"/>
      <c r="C2" s="45" t="s">
        <v>10</v>
      </c>
      <c r="D2" s="2" t="s">
        <v>54</v>
      </c>
      <c r="E2" s="2" t="s">
        <v>56</v>
      </c>
      <c r="F2" s="2" t="s">
        <v>5</v>
      </c>
      <c r="G2" s="2" t="s">
        <v>0</v>
      </c>
      <c r="H2" s="2"/>
      <c r="I2" s="1" t="s">
        <v>1</v>
      </c>
      <c r="J2" s="1" t="s">
        <v>35</v>
      </c>
      <c r="K2" s="2" t="s">
        <v>2</v>
      </c>
      <c r="L2" s="2" t="s">
        <v>35</v>
      </c>
      <c r="M2" s="1" t="s">
        <v>38</v>
      </c>
      <c r="N2" s="1"/>
      <c r="O2" s="4"/>
    </row>
    <row r="3" spans="1:16" ht="12.75">
      <c r="A3" s="1"/>
      <c r="B3" s="2" t="s">
        <v>3</v>
      </c>
      <c r="C3" s="45" t="s">
        <v>59</v>
      </c>
      <c r="D3" s="2" t="s">
        <v>4</v>
      </c>
      <c r="E3" s="2" t="s">
        <v>57</v>
      </c>
      <c r="F3" s="1" t="s">
        <v>54</v>
      </c>
      <c r="G3" s="2" t="s">
        <v>44</v>
      </c>
      <c r="H3" s="2" t="s">
        <v>89</v>
      </c>
      <c r="I3" s="1" t="s">
        <v>5</v>
      </c>
      <c r="J3" s="1" t="s">
        <v>4</v>
      </c>
      <c r="K3" s="2" t="s">
        <v>5</v>
      </c>
      <c r="L3" s="2" t="s">
        <v>13</v>
      </c>
      <c r="M3" s="3" t="s">
        <v>6</v>
      </c>
      <c r="N3" s="1" t="s">
        <v>7</v>
      </c>
      <c r="O3" s="1" t="s">
        <v>7</v>
      </c>
      <c r="P3" s="40" t="s">
        <v>8</v>
      </c>
    </row>
    <row r="4" spans="1:16" ht="12.75">
      <c r="A4" s="36" t="s">
        <v>9</v>
      </c>
      <c r="B4" s="37" t="s">
        <v>10</v>
      </c>
      <c r="C4" s="46" t="s">
        <v>60</v>
      </c>
      <c r="D4" s="37" t="s">
        <v>11</v>
      </c>
      <c r="E4" s="37" t="s">
        <v>11</v>
      </c>
      <c r="F4" s="37" t="s">
        <v>11</v>
      </c>
      <c r="G4" s="37" t="s">
        <v>12</v>
      </c>
      <c r="H4" s="37"/>
      <c r="I4" s="36" t="s">
        <v>11</v>
      </c>
      <c r="J4" s="36" t="s">
        <v>11</v>
      </c>
      <c r="K4" s="37" t="s">
        <v>11</v>
      </c>
      <c r="L4" s="37" t="s">
        <v>90</v>
      </c>
      <c r="M4" s="38" t="s">
        <v>13</v>
      </c>
      <c r="N4" s="36" t="s">
        <v>14</v>
      </c>
      <c r="O4" s="39" t="s">
        <v>15</v>
      </c>
      <c r="P4" s="36" t="s">
        <v>16</v>
      </c>
    </row>
    <row r="5" spans="1:16" ht="12.75">
      <c r="A5" t="str">
        <f>'FY2020'!A5</f>
        <v>Steve Daby</v>
      </c>
      <c r="B5" s="6">
        <f>'FY2020'!B5</f>
        <v>23</v>
      </c>
      <c r="C5" s="47">
        <v>40</v>
      </c>
      <c r="D5" s="8">
        <f>'FY2020'!D5</f>
        <v>28.01</v>
      </c>
      <c r="E5" s="8">
        <f aca="true" t="shared" si="0" ref="E5:E10">(D5*1)*0.02+D5</f>
        <v>28.5702</v>
      </c>
      <c r="F5" s="8">
        <f>E5*8*261</f>
        <v>59654.5776</v>
      </c>
      <c r="G5" s="8" t="str">
        <f aca="true" t="shared" si="1" ref="G5:G10">IF(B5&gt;=25,"1000",IF(B5&gt;=20,"750",IF(B5&gt;=15,"500",IF(B5&gt;=10,"250","0"))))</f>
        <v>750</v>
      </c>
      <c r="H5" s="41">
        <v>2000</v>
      </c>
      <c r="I5" s="8">
        <f aca="true" t="shared" si="2" ref="I5:I10">F5+G5+H5</f>
        <v>62404.5776</v>
      </c>
      <c r="J5" s="8">
        <f>I5/8/261</f>
        <v>29.887249808429118</v>
      </c>
      <c r="K5" s="8">
        <f>'FY2020'!K5</f>
        <v>58416.6</v>
      </c>
      <c r="L5" s="158">
        <f aca="true" t="shared" si="3" ref="L5:L10">(J5-D5)/D5</f>
        <v>0.06702070005102165</v>
      </c>
      <c r="M5" s="158">
        <f>(E5-D5)/D5</f>
        <v>0.019999999999999938</v>
      </c>
      <c r="N5" s="11" t="s">
        <v>17</v>
      </c>
      <c r="O5" s="159">
        <f>I5*0.0145</f>
        <v>904.8663752</v>
      </c>
      <c r="P5" s="159">
        <f>I5*0.001</f>
        <v>62.404577599999996</v>
      </c>
    </row>
    <row r="6" spans="1:16" ht="12.75">
      <c r="A6" t="str">
        <f>'FY2020'!A6</f>
        <v>Michael Lovett</v>
      </c>
      <c r="B6" s="6">
        <f>'FY2020'!B6</f>
        <v>1</v>
      </c>
      <c r="C6" s="47">
        <v>40</v>
      </c>
      <c r="D6" s="8">
        <f>'FY2020'!D6</f>
        <v>19.48</v>
      </c>
      <c r="E6" s="8">
        <f t="shared" si="0"/>
        <v>19.869600000000002</v>
      </c>
      <c r="F6" s="8">
        <f>E6*8*261</f>
        <v>41487.7248</v>
      </c>
      <c r="G6" s="8" t="str">
        <f t="shared" si="1"/>
        <v>0</v>
      </c>
      <c r="H6" s="41"/>
      <c r="I6" s="8">
        <f t="shared" si="2"/>
        <v>41487.7248</v>
      </c>
      <c r="J6" s="8">
        <f>I6/8/261</f>
        <v>19.869600000000002</v>
      </c>
      <c r="K6" s="8">
        <f>'FY2020'!K6</f>
        <v>40674.24</v>
      </c>
      <c r="L6" s="158">
        <f t="shared" si="3"/>
        <v>0.020000000000000077</v>
      </c>
      <c r="M6" s="158">
        <f>(E6-D6)/D6</f>
        <v>0.020000000000000077</v>
      </c>
      <c r="N6" s="11" t="s">
        <v>17</v>
      </c>
      <c r="O6" s="159">
        <f aca="true" t="shared" si="4" ref="O6:O33">I6*0.0145</f>
        <v>601.5720096000001</v>
      </c>
      <c r="P6" s="159">
        <f aca="true" t="shared" si="5" ref="P6:P33">I6*0.001</f>
        <v>41.4877248</v>
      </c>
    </row>
    <row r="7" spans="1:16" ht="12.75">
      <c r="A7" t="str">
        <f>'FY2020'!A7</f>
        <v>Larry Davis</v>
      </c>
      <c r="B7" s="6">
        <f>'FY2020'!B7</f>
        <v>3</v>
      </c>
      <c r="C7" s="47">
        <v>40</v>
      </c>
      <c r="D7" s="8">
        <f>'FY2020'!D7</f>
        <v>19.48</v>
      </c>
      <c r="E7" s="8">
        <f t="shared" si="0"/>
        <v>19.869600000000002</v>
      </c>
      <c r="F7" s="8">
        <f>E7*8*261</f>
        <v>41487.7248</v>
      </c>
      <c r="G7" s="8" t="str">
        <f t="shared" si="1"/>
        <v>0</v>
      </c>
      <c r="H7" s="41"/>
      <c r="I7" s="8">
        <f t="shared" si="2"/>
        <v>41487.7248</v>
      </c>
      <c r="J7" s="8">
        <f>I7/8/261</f>
        <v>19.869600000000002</v>
      </c>
      <c r="K7" s="8">
        <f>'FY2020'!K7</f>
        <v>40674.24</v>
      </c>
      <c r="L7" s="158">
        <f t="shared" si="3"/>
        <v>0.020000000000000077</v>
      </c>
      <c r="M7" s="158">
        <f>(E7-D7)/D7</f>
        <v>0.020000000000000077</v>
      </c>
      <c r="N7" s="11" t="s">
        <v>17</v>
      </c>
      <c r="O7" s="159">
        <f t="shared" si="4"/>
        <v>601.5720096000001</v>
      </c>
      <c r="P7" s="159">
        <f t="shared" si="5"/>
        <v>41.4877248</v>
      </c>
    </row>
    <row r="8" spans="1:16" ht="12.75">
      <c r="A8" t="str">
        <f>'FY2020'!A8</f>
        <v>Norm Daby </v>
      </c>
      <c r="B8" s="6">
        <f>'FY2020'!B8</f>
        <v>4</v>
      </c>
      <c r="C8" s="47">
        <v>40</v>
      </c>
      <c r="D8" s="8">
        <f>'FY2020'!D8</f>
        <v>20.5</v>
      </c>
      <c r="E8" s="8">
        <f t="shared" si="0"/>
        <v>20.91</v>
      </c>
      <c r="F8" s="8">
        <f>E8*8*261</f>
        <v>43660.08</v>
      </c>
      <c r="G8" s="8" t="str">
        <f t="shared" si="1"/>
        <v>0</v>
      </c>
      <c r="H8" s="41"/>
      <c r="I8" s="8">
        <f t="shared" si="2"/>
        <v>43660.08</v>
      </c>
      <c r="J8" s="8">
        <f>I8/8/261</f>
        <v>20.91</v>
      </c>
      <c r="K8" s="8">
        <f>'FY2020'!K9</f>
        <v>40674.24</v>
      </c>
      <c r="L8" s="158">
        <f t="shared" si="3"/>
        <v>0.020000000000000007</v>
      </c>
      <c r="M8" s="158">
        <f>(E8-D8)/D8</f>
        <v>0.020000000000000007</v>
      </c>
      <c r="N8" s="11" t="s">
        <v>17</v>
      </c>
      <c r="O8" s="159">
        <f t="shared" si="4"/>
        <v>633.0711600000001</v>
      </c>
      <c r="P8" s="159">
        <f t="shared" si="5"/>
        <v>43.66008</v>
      </c>
    </row>
    <row r="9" spans="1:16" ht="12.75">
      <c r="A9" t="str">
        <f>'FY2020'!A9</f>
        <v>Curtis Neill (after probationary)</v>
      </c>
      <c r="B9" s="6">
        <f>'FY2020'!B9</f>
        <v>1</v>
      </c>
      <c r="C9" s="47">
        <v>40</v>
      </c>
      <c r="D9" s="8">
        <f>'FY2020'!D9</f>
        <v>19.48</v>
      </c>
      <c r="E9" s="8">
        <f t="shared" si="0"/>
        <v>19.869600000000002</v>
      </c>
      <c r="F9" s="8">
        <f>E9*8*261</f>
        <v>41487.7248</v>
      </c>
      <c r="G9" s="8" t="str">
        <f t="shared" si="1"/>
        <v>0</v>
      </c>
      <c r="H9" s="41"/>
      <c r="I9" s="8">
        <f t="shared" si="2"/>
        <v>41487.7248</v>
      </c>
      <c r="J9" s="8">
        <f>I9/8/261</f>
        <v>19.869600000000002</v>
      </c>
      <c r="K9" s="8">
        <f>'FY2020'!K8</f>
        <v>42804</v>
      </c>
      <c r="L9" s="158">
        <f t="shared" si="3"/>
        <v>0.020000000000000077</v>
      </c>
      <c r="M9" s="158"/>
      <c r="N9" s="11" t="s">
        <v>17</v>
      </c>
      <c r="O9" s="159">
        <f t="shared" si="4"/>
        <v>601.5720096000001</v>
      </c>
      <c r="P9" s="159">
        <f t="shared" si="5"/>
        <v>41.4877248</v>
      </c>
    </row>
    <row r="10" spans="1:16" ht="12.75">
      <c r="A10" t="s">
        <v>74</v>
      </c>
      <c r="B10" s="6"/>
      <c r="C10" s="47">
        <v>18</v>
      </c>
      <c r="D10" s="8">
        <f>'FY2020'!D10</f>
        <v>15.68</v>
      </c>
      <c r="E10" s="8">
        <f t="shared" si="0"/>
        <v>15.993599999999999</v>
      </c>
      <c r="F10" s="8">
        <f>E10*18*52</f>
        <v>14970.0096</v>
      </c>
      <c r="G10" s="8" t="str">
        <f t="shared" si="1"/>
        <v>0</v>
      </c>
      <c r="H10" s="42"/>
      <c r="I10" s="8">
        <f t="shared" si="2"/>
        <v>14970.0096</v>
      </c>
      <c r="J10" s="8">
        <f>I10/18/52</f>
        <v>15.993599999999999</v>
      </c>
      <c r="K10" s="8">
        <f>'FY2020'!K10</f>
        <v>14676.48</v>
      </c>
      <c r="L10" s="158">
        <f t="shared" si="3"/>
        <v>0.019999999999999952</v>
      </c>
      <c r="M10" s="158">
        <f>(E10-D10)/D10</f>
        <v>0.019999999999999952</v>
      </c>
      <c r="N10" s="11" t="s">
        <v>17</v>
      </c>
      <c r="O10" s="159">
        <f t="shared" si="4"/>
        <v>217.0651392</v>
      </c>
      <c r="P10" s="159">
        <f t="shared" si="5"/>
        <v>14.9700096</v>
      </c>
    </row>
    <row r="11" spans="1:16" ht="12.75">
      <c r="A11" t="s">
        <v>36</v>
      </c>
      <c r="B11" s="6"/>
      <c r="C11" s="47"/>
      <c r="D11" s="8"/>
      <c r="E11" s="8"/>
      <c r="F11" s="8">
        <f>I11</f>
        <v>21856.023072000004</v>
      </c>
      <c r="G11" s="8"/>
      <c r="H11" s="42"/>
      <c r="I11" s="13">
        <f>((I6+I7+I8+I9)*0.08)+((I6+I7+I8+I9)*0.05)</f>
        <v>21856.023072000004</v>
      </c>
      <c r="J11" s="8"/>
      <c r="K11" s="8">
        <f>'FY2020'!K11</f>
        <v>21427.4736</v>
      </c>
      <c r="L11" s="158"/>
      <c r="M11" s="158"/>
      <c r="N11" s="11" t="s">
        <v>17</v>
      </c>
      <c r="O11" s="159">
        <f t="shared" si="4"/>
        <v>316.9123345440001</v>
      </c>
      <c r="P11" s="159">
        <f t="shared" si="5"/>
        <v>21.856023072000003</v>
      </c>
    </row>
    <row r="12" spans="2:16" ht="12.75">
      <c r="B12" s="9"/>
      <c r="C12" s="47"/>
      <c r="D12" s="8"/>
      <c r="E12" s="8"/>
      <c r="F12" s="8"/>
      <c r="G12" s="8"/>
      <c r="H12" s="11"/>
      <c r="I12" s="8"/>
      <c r="J12" s="11"/>
      <c r="K12" s="8"/>
      <c r="L12" s="158"/>
      <c r="M12" s="158"/>
      <c r="N12" s="11"/>
      <c r="O12" s="159"/>
      <c r="P12" s="159"/>
    </row>
    <row r="13" spans="1:16" ht="12.75">
      <c r="A13" t="str">
        <f>'FY2020'!A13</f>
        <v>Jim Hicks</v>
      </c>
      <c r="B13" s="6">
        <f>'FY2020'!B13</f>
        <v>36</v>
      </c>
      <c r="C13" s="47">
        <v>40</v>
      </c>
      <c r="D13" s="8">
        <f>'FY2020'!D13</f>
        <v>31.67</v>
      </c>
      <c r="E13" s="8">
        <f>(D13*1)*0.02+D13</f>
        <v>32.3034</v>
      </c>
      <c r="F13" s="8">
        <f>E13*8*261</f>
        <v>67449.4992</v>
      </c>
      <c r="G13" s="8" t="str">
        <f>IF(B13&gt;=25,"1000",IF(B13&gt;=20,"750",IF(B13&gt;=15,"500",IF(B13&gt;=10,"250","0"))))</f>
        <v>1000</v>
      </c>
      <c r="H13" s="41"/>
      <c r="I13" s="8">
        <f>F13+G13+H13</f>
        <v>68449.4992</v>
      </c>
      <c r="J13" s="8">
        <f>I13/8/261</f>
        <v>32.78232720306514</v>
      </c>
      <c r="K13" s="8">
        <f>'FY2020'!K13</f>
        <v>67126.96</v>
      </c>
      <c r="L13" s="158">
        <f>(J13-D13)/D13</f>
        <v>0.03512242510467745</v>
      </c>
      <c r="M13" s="158">
        <f>(E13-D13)/D13</f>
        <v>0.020000000000000052</v>
      </c>
      <c r="N13" s="11" t="s">
        <v>20</v>
      </c>
      <c r="O13" s="159">
        <v>0</v>
      </c>
      <c r="P13" s="159">
        <f t="shared" si="5"/>
        <v>68.4494992</v>
      </c>
    </row>
    <row r="14" spans="1:16" ht="12.75">
      <c r="A14" t="str">
        <f>'FY2020'!A14</f>
        <v>Kurt Gilmore</v>
      </c>
      <c r="B14" s="6">
        <f>'FY2020'!B14</f>
        <v>7</v>
      </c>
      <c r="C14" s="47">
        <v>40</v>
      </c>
      <c r="D14" s="8">
        <f>'FY2020'!D14</f>
        <v>25.85</v>
      </c>
      <c r="E14" s="8">
        <f>(D14*1)*0.02+D14</f>
        <v>26.367</v>
      </c>
      <c r="F14" s="8">
        <f>E14*8*261</f>
        <v>55054.296</v>
      </c>
      <c r="G14" s="8" t="str">
        <f>IF(B14&gt;=25,"1000",IF(B14&gt;=20,"750",IF(B14&gt;=15,"500",IF(B14&gt;=10,"250","0"))))</f>
        <v>0</v>
      </c>
      <c r="H14" s="41"/>
      <c r="I14" s="8">
        <f>F14+G14+H14</f>
        <v>55054.296</v>
      </c>
      <c r="J14" s="8">
        <f>I14/8/261</f>
        <v>26.367</v>
      </c>
      <c r="K14" s="8">
        <f>'FY2020'!K14</f>
        <v>53974.8</v>
      </c>
      <c r="L14" s="158">
        <f>(J14-D14)/D14</f>
        <v>0.01999999999999998</v>
      </c>
      <c r="M14" s="158">
        <f>(E14-D14)/D14</f>
        <v>0.01999999999999998</v>
      </c>
      <c r="N14" s="11" t="s">
        <v>17</v>
      </c>
      <c r="O14" s="159">
        <f t="shared" si="4"/>
        <v>798.2872920000001</v>
      </c>
      <c r="P14" s="159">
        <f t="shared" si="5"/>
        <v>55.054296</v>
      </c>
    </row>
    <row r="15" spans="1:16" ht="12.75">
      <c r="A15" s="15" t="s">
        <v>21</v>
      </c>
      <c r="B15" s="16"/>
      <c r="C15" s="47" t="s">
        <v>87</v>
      </c>
      <c r="D15" s="8">
        <f>'FY2020'!D15</f>
        <v>18.46</v>
      </c>
      <c r="E15" s="8">
        <f>(D15*1)*0.02+D15</f>
        <v>18.8292</v>
      </c>
      <c r="F15" s="8">
        <f>2232*E15</f>
        <v>42026.7744</v>
      </c>
      <c r="G15" s="8" t="str">
        <f>IF(B15&gt;=25,"1000",IF(B15&gt;=20,"750",IF(B15&gt;=15,"500",IF(B15&gt;=10,"250","0"))))</f>
        <v>0</v>
      </c>
      <c r="H15" s="42"/>
      <c r="I15" s="8">
        <f>F15+G15+H15</f>
        <v>42026.7744</v>
      </c>
      <c r="J15" s="8">
        <f>E15</f>
        <v>18.8292</v>
      </c>
      <c r="K15" s="8">
        <f>'FY2020'!K15</f>
        <v>39212.89</v>
      </c>
      <c r="L15" s="158"/>
      <c r="M15" s="158">
        <f>(E15-D15)/D15</f>
        <v>0.019999999999999962</v>
      </c>
      <c r="N15" s="11" t="s">
        <v>17</v>
      </c>
      <c r="O15" s="159">
        <f t="shared" si="4"/>
        <v>609.3882288000001</v>
      </c>
      <c r="P15" s="159">
        <f t="shared" si="5"/>
        <v>42.0267744</v>
      </c>
    </row>
    <row r="16" spans="1:16" ht="12.75">
      <c r="A16" s="15" t="s">
        <v>61</v>
      </c>
      <c r="B16" s="16"/>
      <c r="C16" s="47" t="s">
        <v>62</v>
      </c>
      <c r="D16" s="8"/>
      <c r="E16" s="8"/>
      <c r="F16" s="8">
        <f>I16</f>
        <v>6839.894793869732</v>
      </c>
      <c r="G16" s="8" t="str">
        <f>IF(B16&gt;=25,"1000",IF(B16&gt;=20,"750",IF(B16&gt;=15,"500",IF(B16&gt;=10,"250","0"))))</f>
        <v>0</v>
      </c>
      <c r="H16" s="42"/>
      <c r="I16" s="8">
        <f>B38</f>
        <v>6839.894793869732</v>
      </c>
      <c r="J16" s="8"/>
      <c r="K16" s="8">
        <f>'FY2020'!K16</f>
        <v>6706.605593869732</v>
      </c>
      <c r="L16" s="158"/>
      <c r="M16" s="158">
        <v>0</v>
      </c>
      <c r="N16" s="17" t="s">
        <v>17</v>
      </c>
      <c r="O16" s="159">
        <f t="shared" si="4"/>
        <v>99.17847451111112</v>
      </c>
      <c r="P16" s="159">
        <f t="shared" si="5"/>
        <v>6.839894793869732</v>
      </c>
    </row>
    <row r="17" spans="1:16" ht="12.75">
      <c r="A17" s="15" t="s">
        <v>55</v>
      </c>
      <c r="B17" s="16"/>
      <c r="C17" s="47"/>
      <c r="D17" s="8"/>
      <c r="E17" s="8"/>
      <c r="F17" s="8">
        <v>0</v>
      </c>
      <c r="G17" s="8"/>
      <c r="H17" s="42"/>
      <c r="I17" s="8">
        <v>0</v>
      </c>
      <c r="J17" s="8"/>
      <c r="K17" s="8">
        <f>'FY2020'!K17</f>
        <v>0</v>
      </c>
      <c r="L17" s="158"/>
      <c r="M17" s="158">
        <v>0</v>
      </c>
      <c r="N17" s="17"/>
      <c r="O17" s="159">
        <f t="shared" si="4"/>
        <v>0</v>
      </c>
      <c r="P17" s="159">
        <f t="shared" si="5"/>
        <v>0</v>
      </c>
    </row>
    <row r="18" spans="1:16" ht="12.75">
      <c r="A18" s="15"/>
      <c r="B18" s="16"/>
      <c r="C18" s="47"/>
      <c r="D18" s="8"/>
      <c r="E18" s="8"/>
      <c r="F18" s="8"/>
      <c r="G18" s="8"/>
      <c r="H18" s="42"/>
      <c r="I18" s="8"/>
      <c r="J18" s="8"/>
      <c r="K18" s="8"/>
      <c r="L18" s="158"/>
      <c r="M18" s="158"/>
      <c r="N18" s="17"/>
      <c r="O18" s="159"/>
      <c r="P18" s="159"/>
    </row>
    <row r="19" spans="1:16" ht="12.75">
      <c r="A19" t="str">
        <f>'FY2020'!A19</f>
        <v>Dan Fleuriel</v>
      </c>
      <c r="B19" s="6">
        <f>'FY2020'!B19</f>
        <v>38</v>
      </c>
      <c r="C19" s="47">
        <v>40</v>
      </c>
      <c r="D19" s="8">
        <f>'FY2020'!D19</f>
        <v>28.01</v>
      </c>
      <c r="E19" s="8">
        <f>(D19*1)*0.02+D19</f>
        <v>28.5702</v>
      </c>
      <c r="F19" s="8">
        <f>E19*8*261</f>
        <v>59654.5776</v>
      </c>
      <c r="G19" s="41" t="str">
        <f>IF(B19&gt;=25,"1000",IF(B19&gt;=20,"750",IF(B19&gt;=15,"500",IF(B19&gt;=10,"250","0"))))</f>
        <v>1000</v>
      </c>
      <c r="H19" s="41">
        <v>1500</v>
      </c>
      <c r="I19" s="8">
        <f>F19+G19+H19</f>
        <v>62154.5776</v>
      </c>
      <c r="J19" s="8">
        <f>I19/8/261</f>
        <v>29.767518007662833</v>
      </c>
      <c r="K19" s="8">
        <f>'FY2020'!K19</f>
        <v>60984.880000000005</v>
      </c>
      <c r="L19" s="158">
        <f>(J19-D19)/D19</f>
        <v>0.06274609095547416</v>
      </c>
      <c r="M19" s="158">
        <f>(E19-D19)/D19</f>
        <v>0.019999999999999938</v>
      </c>
      <c r="N19" s="11" t="s">
        <v>20</v>
      </c>
      <c r="O19" s="159">
        <v>0</v>
      </c>
      <c r="P19" s="159">
        <f t="shared" si="5"/>
        <v>62.154577599999996</v>
      </c>
    </row>
    <row r="20" spans="1:16" ht="12.75">
      <c r="A20" t="str">
        <f>'FY2020'!A20</f>
        <v>Matthew Ahearn</v>
      </c>
      <c r="B20" s="6">
        <f>'FY2020'!B20</f>
        <v>3</v>
      </c>
      <c r="C20" s="47">
        <v>40</v>
      </c>
      <c r="D20" s="8">
        <f>'FY2020'!D20</f>
        <v>21.85</v>
      </c>
      <c r="E20" s="8">
        <f>(D20*1)*0.02+D20</f>
        <v>22.287000000000003</v>
      </c>
      <c r="F20" s="8">
        <f>E20*8*261</f>
        <v>46535.25600000001</v>
      </c>
      <c r="G20" s="8" t="str">
        <f>IF(B20&gt;=25,"1000",IF(B20&gt;=20,"750",IF(B20&gt;=15,"500",IF(B20&gt;=10,"250","0"))))</f>
        <v>0</v>
      </c>
      <c r="H20" s="41">
        <v>1000</v>
      </c>
      <c r="I20" s="8">
        <f>F20+G20+H20</f>
        <v>47535.25600000001</v>
      </c>
      <c r="J20" s="8">
        <f>I20/8/261</f>
        <v>22.76592720306514</v>
      </c>
      <c r="K20" s="8">
        <f>'FY2020'!K20</f>
        <v>46622.8</v>
      </c>
      <c r="L20" s="158">
        <f>(J20-D20)/D20</f>
        <v>0.041918865128839265</v>
      </c>
      <c r="M20" s="158">
        <f>(E20-D20)/D20</f>
        <v>0.020000000000000052</v>
      </c>
      <c r="N20" s="11" t="s">
        <v>17</v>
      </c>
      <c r="O20" s="159">
        <f t="shared" si="4"/>
        <v>689.2612120000001</v>
      </c>
      <c r="P20" s="159">
        <f t="shared" si="5"/>
        <v>47.53525600000001</v>
      </c>
    </row>
    <row r="21" spans="1:16" ht="12.75">
      <c r="A21" t="s">
        <v>23</v>
      </c>
      <c r="B21" s="6"/>
      <c r="C21" s="47"/>
      <c r="D21" s="8"/>
      <c r="E21" s="8"/>
      <c r="F21" s="8">
        <f>(182*J19)+(182*J20)</f>
        <v>9561.087028352491</v>
      </c>
      <c r="G21" s="8" t="str">
        <f>IF(B21&gt;=25,"1000",IF(B21&gt;=20,"750",IF(B21&gt;=15,"500",IF(B21&gt;=10,"250","0"))))</f>
        <v>0</v>
      </c>
      <c r="H21" s="41"/>
      <c r="I21" s="8">
        <v>10900</v>
      </c>
      <c r="J21" s="8"/>
      <c r="K21" s="8">
        <f>'FY2020'!K21</f>
        <v>9379.59662835249</v>
      </c>
      <c r="L21" s="158"/>
      <c r="M21" s="158"/>
      <c r="N21" s="11" t="s">
        <v>17</v>
      </c>
      <c r="O21" s="159">
        <f t="shared" si="4"/>
        <v>158.05</v>
      </c>
      <c r="P21" s="159">
        <f t="shared" si="5"/>
        <v>10.9</v>
      </c>
    </row>
    <row r="22" spans="2:16" ht="12.75">
      <c r="B22" s="6"/>
      <c r="C22" s="47"/>
      <c r="D22" s="8"/>
      <c r="E22" s="8"/>
      <c r="F22" s="8"/>
      <c r="G22" s="8"/>
      <c r="H22" s="41"/>
      <c r="I22" s="8"/>
      <c r="J22" s="8"/>
      <c r="K22" s="8"/>
      <c r="L22" s="158"/>
      <c r="M22" s="158"/>
      <c r="N22" s="11"/>
      <c r="O22" s="159"/>
      <c r="P22" s="159"/>
    </row>
    <row r="23" spans="1:16" ht="12.75">
      <c r="A23" t="str">
        <f>'FY2020'!A23</f>
        <v>Town Administrator (old rate, from contract)</v>
      </c>
      <c r="B23" s="6">
        <f>'FY2020'!B23</f>
        <v>0</v>
      </c>
      <c r="C23" s="47">
        <v>40</v>
      </c>
      <c r="D23" s="8">
        <f>'FY2020'!D23</f>
        <v>32.56704980842912</v>
      </c>
      <c r="E23" s="8">
        <f>'FY2020'!E23</f>
        <v>34.00383141762452</v>
      </c>
      <c r="F23" s="8">
        <f>'FY2020'!F23</f>
        <v>71000</v>
      </c>
      <c r="G23" s="41">
        <v>0</v>
      </c>
      <c r="H23" s="41"/>
      <c r="I23" s="8">
        <f>F23+G23+H23</f>
        <v>71000</v>
      </c>
      <c r="J23" s="8">
        <f>I23/8/261</f>
        <v>34.00383141762452</v>
      </c>
      <c r="K23" s="8">
        <f>'FY2020'!K23</f>
        <v>68000</v>
      </c>
      <c r="L23" s="158">
        <f>(J23-D23)/D23</f>
        <v>0.04411764705882345</v>
      </c>
      <c r="M23" s="158">
        <f>(E23-D23)/D23</f>
        <v>0.04411764705882345</v>
      </c>
      <c r="N23" s="11" t="s">
        <v>17</v>
      </c>
      <c r="O23" s="159">
        <f t="shared" si="4"/>
        <v>1029.5</v>
      </c>
      <c r="P23" s="159">
        <f t="shared" si="5"/>
        <v>71</v>
      </c>
    </row>
    <row r="24" spans="1:16" ht="12.75">
      <c r="A24" t="str">
        <f>'FY2020'!A24</f>
        <v>Lisa Blackmer</v>
      </c>
      <c r="B24" s="6">
        <f>'FY2020'!B24</f>
        <v>4</v>
      </c>
      <c r="C24" s="177">
        <v>37.5</v>
      </c>
      <c r="D24" s="8">
        <f>'FY2020'!D24</f>
        <v>24.77</v>
      </c>
      <c r="E24" s="8">
        <f>(D24*1)*0.02+D24</f>
        <v>25.2654</v>
      </c>
      <c r="F24" s="8">
        <f>E24*7.5*261</f>
        <v>49457.0205</v>
      </c>
      <c r="G24" s="8" t="str">
        <f>IF(B24&gt;=25,"1000",IF(B24&gt;=20,"750",IF(B24&gt;=15,"500",IF(B24&gt;=10,"250","0"))))</f>
        <v>0</v>
      </c>
      <c r="H24" s="41"/>
      <c r="I24" s="8">
        <f>F24+G24+H24</f>
        <v>49457.0205</v>
      </c>
      <c r="J24" s="8">
        <f>I24/7.5/261</f>
        <v>25.2654</v>
      </c>
      <c r="K24" s="8">
        <f>'FY2020'!K24</f>
        <v>48487.275</v>
      </c>
      <c r="L24" s="158">
        <f>(J24-D24)/D24</f>
        <v>0.020000000000000004</v>
      </c>
      <c r="M24" s="158">
        <f>(E24-D24)/D24</f>
        <v>0.020000000000000004</v>
      </c>
      <c r="N24" s="11" t="s">
        <v>17</v>
      </c>
      <c r="O24" s="159">
        <f t="shared" si="4"/>
        <v>717.12679725</v>
      </c>
      <c r="P24" s="159">
        <f t="shared" si="5"/>
        <v>49.4570205</v>
      </c>
    </row>
    <row r="25" spans="1:16" ht="12.75">
      <c r="A25" t="str">
        <f>'FY2020'!A25</f>
        <v>Pam Guyette</v>
      </c>
      <c r="B25" s="6">
        <f>'FY2020'!B25</f>
        <v>12</v>
      </c>
      <c r="C25" s="47">
        <v>28</v>
      </c>
      <c r="D25" s="8">
        <f>'FY2020'!D25</f>
        <v>22.41</v>
      </c>
      <c r="E25" s="8">
        <f>(D25*1)*0.02+D25</f>
        <v>22.8582</v>
      </c>
      <c r="F25" s="8">
        <f>(E25*5.6*261)</f>
        <v>33409.54512</v>
      </c>
      <c r="G25" s="8" t="str">
        <f>IF(B25&gt;=25,"1000",IF(B25&gt;=20,"750",IF(B25&gt;=15,"500",IF(B25&gt;=10,"250","0"))))</f>
        <v>250</v>
      </c>
      <c r="H25" s="41"/>
      <c r="I25" s="8">
        <f>F25+G25+H25</f>
        <v>33659.54512</v>
      </c>
      <c r="J25" s="8">
        <f>E25</f>
        <v>22.8582</v>
      </c>
      <c r="K25" s="8">
        <f>'FY2020'!K25</f>
        <v>32754.456</v>
      </c>
      <c r="L25" s="158">
        <f>(J25-D25)/D25</f>
        <v>0.019999999999999997</v>
      </c>
      <c r="M25" s="158">
        <f>(E25-D25)/D25</f>
        <v>0.019999999999999997</v>
      </c>
      <c r="N25" s="11" t="s">
        <v>17</v>
      </c>
      <c r="O25" s="159">
        <f t="shared" si="4"/>
        <v>488.06340424000007</v>
      </c>
      <c r="P25" s="159">
        <f t="shared" si="5"/>
        <v>33.659545120000004</v>
      </c>
    </row>
    <row r="26" spans="1:16" ht="12.75">
      <c r="A26" s="15" t="str">
        <f>'FY2020'!A26</f>
        <v>Sherry Clark</v>
      </c>
      <c r="B26" s="16">
        <f>'FY2020'!B26</f>
        <v>18</v>
      </c>
      <c r="C26" s="47">
        <v>40</v>
      </c>
      <c r="D26" s="8">
        <f>'FY2020'!D26</f>
        <v>20.17</v>
      </c>
      <c r="E26" s="8">
        <f>(D26*1)*0.02+D26</f>
        <v>20.573400000000003</v>
      </c>
      <c r="F26" s="8">
        <f>E26*8*261</f>
        <v>42957.25920000001</v>
      </c>
      <c r="G26" s="8" t="str">
        <f>IF(B26&gt;=25,"1000",IF(B26&gt;=20,"750",IF(B26&gt;=15,"500",IF(B26&gt;=10,"250","0"))))</f>
        <v>500</v>
      </c>
      <c r="H26" s="42"/>
      <c r="I26" s="8">
        <f>F26+G26+H26</f>
        <v>43457.25920000001</v>
      </c>
      <c r="J26" s="8">
        <f>I26/8/261</f>
        <v>20.81286360153257</v>
      </c>
      <c r="K26" s="13">
        <f>'FY2020'!K26</f>
        <v>42614.96000000001</v>
      </c>
      <c r="L26" s="158">
        <f>(J26-D26)/D26</f>
        <v>0.031872265817182346</v>
      </c>
      <c r="M26" s="158">
        <f>(E26-D26)/D26</f>
        <v>0.020000000000000063</v>
      </c>
      <c r="N26" s="17" t="s">
        <v>17</v>
      </c>
      <c r="O26" s="159">
        <f t="shared" si="4"/>
        <v>630.1302584000001</v>
      </c>
      <c r="P26" s="159">
        <f t="shared" si="5"/>
        <v>43.45725920000001</v>
      </c>
    </row>
    <row r="27" spans="1:16" ht="12.75">
      <c r="A27" s="35" t="s">
        <v>92</v>
      </c>
      <c r="B27" s="31"/>
      <c r="C27" s="49" t="s">
        <v>91</v>
      </c>
      <c r="D27" s="8">
        <f>'FY2020'!D27</f>
        <v>7500</v>
      </c>
      <c r="E27" s="8"/>
      <c r="F27" s="32">
        <v>7500</v>
      </c>
      <c r="G27" s="8"/>
      <c r="H27" s="43"/>
      <c r="I27" s="32">
        <f>F27</f>
        <v>7500</v>
      </c>
      <c r="J27" s="8"/>
      <c r="K27" s="32">
        <v>7500</v>
      </c>
      <c r="L27" s="158"/>
      <c r="M27" s="158"/>
      <c r="N27" s="33" t="s">
        <v>17</v>
      </c>
      <c r="O27" s="159">
        <f t="shared" si="4"/>
        <v>108.75</v>
      </c>
      <c r="P27" s="159">
        <f t="shared" si="5"/>
        <v>7.5</v>
      </c>
    </row>
    <row r="28" spans="1:16" ht="12.75">
      <c r="A28" s="35" t="s">
        <v>45</v>
      </c>
      <c r="B28" s="31"/>
      <c r="C28" s="49"/>
      <c r="D28" s="8">
        <v>16464.01</v>
      </c>
      <c r="E28" s="8"/>
      <c r="F28" s="32">
        <v>0</v>
      </c>
      <c r="G28" s="8"/>
      <c r="H28" s="43"/>
      <c r="I28" s="162">
        <f>F28</f>
        <v>0</v>
      </c>
      <c r="J28" s="8"/>
      <c r="K28" s="162">
        <f>'FY2020'!K28</f>
        <v>0</v>
      </c>
      <c r="L28" s="158"/>
      <c r="M28" s="158"/>
      <c r="N28" s="33" t="s">
        <v>17</v>
      </c>
      <c r="O28" s="159">
        <f t="shared" si="4"/>
        <v>0</v>
      </c>
      <c r="P28" s="159">
        <f t="shared" si="5"/>
        <v>0</v>
      </c>
    </row>
    <row r="29" spans="1:16" ht="12.75">
      <c r="A29" s="30" t="s">
        <v>66</v>
      </c>
      <c r="B29" s="31">
        <f>'FY2020'!B29</f>
        <v>2</v>
      </c>
      <c r="C29" s="181">
        <v>18.5</v>
      </c>
      <c r="D29" s="32">
        <f>'FY2020'!D29</f>
        <v>19.48</v>
      </c>
      <c r="E29" s="8">
        <f>(D29*1)*0.02+D29</f>
        <v>19.869600000000002</v>
      </c>
      <c r="F29" s="8">
        <f>E29*3.7*261</f>
        <v>19188.07272</v>
      </c>
      <c r="G29" s="8" t="str">
        <f>IF(B29&gt;=25,"1000",IF(B29&gt;=20,"750",IF(B29&gt;=15,"500",IF(B29&gt;=10,"250","0"))))</f>
        <v>0</v>
      </c>
      <c r="H29" s="43"/>
      <c r="I29" s="32">
        <f>F29</f>
        <v>19188.07272</v>
      </c>
      <c r="J29" s="8">
        <f>I29/3.7/261</f>
        <v>19.8696</v>
      </c>
      <c r="K29" s="32">
        <f>'FY2020'!K29</f>
        <v>18811.836000000003</v>
      </c>
      <c r="L29" s="158">
        <f>(J29-D29)/D29</f>
        <v>0.019999999999999893</v>
      </c>
      <c r="M29" s="158">
        <f>(E29-D29)/D29</f>
        <v>0.020000000000000077</v>
      </c>
      <c r="N29" s="33" t="s">
        <v>17</v>
      </c>
      <c r="O29" s="159">
        <f t="shared" si="4"/>
        <v>278.22705444</v>
      </c>
      <c r="P29" s="159">
        <f t="shared" si="5"/>
        <v>19.18807272</v>
      </c>
    </row>
    <row r="30" spans="1:16" ht="12.75">
      <c r="A30" s="35" t="s">
        <v>78</v>
      </c>
      <c r="B30" s="31"/>
      <c r="C30" s="49" t="s">
        <v>97</v>
      </c>
      <c r="D30" s="32">
        <f>'FY2020'!D30</f>
        <v>13.66</v>
      </c>
      <c r="E30" s="8">
        <f>(D30*1)*0.02+D30</f>
        <v>13.9332</v>
      </c>
      <c r="F30" s="8">
        <f>SUM(166*E30)</f>
        <v>2312.9112</v>
      </c>
      <c r="G30" s="32"/>
      <c r="H30" s="43"/>
      <c r="I30" s="32">
        <f>F30</f>
        <v>2312.9112</v>
      </c>
      <c r="J30" s="8">
        <f>E30</f>
        <v>13.9332</v>
      </c>
      <c r="K30" s="32">
        <f>'FY2020'!K30</f>
        <v>2158</v>
      </c>
      <c r="L30" s="158">
        <f>(J30-D30)/D30</f>
        <v>0.01999999999999994</v>
      </c>
      <c r="M30" s="158">
        <f>(E30-D30)/D30</f>
        <v>0.01999999999999994</v>
      </c>
      <c r="N30" s="33" t="s">
        <v>17</v>
      </c>
      <c r="O30" s="159">
        <f t="shared" si="4"/>
        <v>33.5372124</v>
      </c>
      <c r="P30" s="159">
        <f t="shared" si="5"/>
        <v>2.3129112000000003</v>
      </c>
    </row>
    <row r="31" spans="1:16" ht="12.75">
      <c r="A31" s="35" t="s">
        <v>42</v>
      </c>
      <c r="B31" s="31"/>
      <c r="C31" s="48"/>
      <c r="D31" s="163"/>
      <c r="E31" s="163"/>
      <c r="F31" s="32">
        <v>3981</v>
      </c>
      <c r="G31" s="32"/>
      <c r="H31" s="43"/>
      <c r="I31" s="32">
        <v>4080</v>
      </c>
      <c r="J31" s="32"/>
      <c r="K31" s="32">
        <f>'FY2020'!K31</f>
        <v>3981</v>
      </c>
      <c r="L31" s="158"/>
      <c r="M31" s="164"/>
      <c r="N31" s="33" t="s">
        <v>17</v>
      </c>
      <c r="O31" s="159">
        <f t="shared" si="4"/>
        <v>59.160000000000004</v>
      </c>
      <c r="P31" s="159">
        <f t="shared" si="5"/>
        <v>4.08</v>
      </c>
    </row>
    <row r="32" spans="1:16" ht="12.75">
      <c r="A32" s="35" t="s">
        <v>43</v>
      </c>
      <c r="B32" s="31"/>
      <c r="C32" s="48"/>
      <c r="D32" s="163"/>
      <c r="E32" s="163"/>
      <c r="F32" s="32">
        <v>55000</v>
      </c>
      <c r="G32" s="32"/>
      <c r="H32" s="43"/>
      <c r="I32" s="32">
        <v>55000</v>
      </c>
      <c r="J32" s="32"/>
      <c r="K32" s="32">
        <f>'FY2020'!K32</f>
        <v>55000</v>
      </c>
      <c r="L32" s="158"/>
      <c r="M32" s="164"/>
      <c r="N32" s="33" t="s">
        <v>17</v>
      </c>
      <c r="O32" s="159">
        <f t="shared" si="4"/>
        <v>797.5</v>
      </c>
      <c r="P32" s="159">
        <f t="shared" si="5"/>
        <v>55</v>
      </c>
    </row>
    <row r="33" spans="1:16" ht="13.5" thickBot="1">
      <c r="A33" s="144" t="s">
        <v>37</v>
      </c>
      <c r="B33" s="145"/>
      <c r="C33" s="146"/>
      <c r="D33" s="165"/>
      <c r="E33" s="165"/>
      <c r="F33" s="147">
        <v>52160.12</v>
      </c>
      <c r="G33" s="147"/>
      <c r="H33" s="148"/>
      <c r="I33" s="147">
        <f>F33</f>
        <v>52160.12</v>
      </c>
      <c r="J33" s="147"/>
      <c r="K33" s="147">
        <f>'FY2020'!K33</f>
        <v>51406</v>
      </c>
      <c r="L33" s="166"/>
      <c r="M33" s="167"/>
      <c r="N33" s="149" t="s">
        <v>17</v>
      </c>
      <c r="O33" s="169">
        <f t="shared" si="4"/>
        <v>756.3217400000001</v>
      </c>
      <c r="P33" s="169">
        <f t="shared" si="5"/>
        <v>52.160120000000006</v>
      </c>
    </row>
    <row r="34" spans="1:16" ht="12.75">
      <c r="A34" s="19" t="s">
        <v>24</v>
      </c>
      <c r="B34" s="7"/>
      <c r="C34" s="47"/>
      <c r="D34" s="8"/>
      <c r="E34" s="8"/>
      <c r="F34" s="8">
        <f>SUM(F5:F33)-F32</f>
        <v>833691.1784342224</v>
      </c>
      <c r="G34" s="13"/>
      <c r="H34" s="42"/>
      <c r="I34" s="8">
        <f>SUM(I5:I33)-I32</f>
        <v>843129.0914058698</v>
      </c>
      <c r="J34" s="8"/>
      <c r="K34" s="8">
        <f>SUM(K5:K33)-K32</f>
        <v>819069.3328222223</v>
      </c>
      <c r="L34" s="8"/>
      <c r="M34" s="158"/>
      <c r="N34" s="11"/>
      <c r="O34" s="8">
        <f>SUM(O5:O33)</f>
        <v>11129.112711785112</v>
      </c>
      <c r="P34" s="8">
        <f>SUM(P5:P33)</f>
        <v>898.1290914058698</v>
      </c>
    </row>
    <row r="35" spans="2:16" ht="13.5" thickBot="1">
      <c r="B35" s="9"/>
      <c r="C35" s="47"/>
      <c r="G35" s="8"/>
      <c r="H35" s="11"/>
      <c r="M35" s="10"/>
      <c r="N35" s="11"/>
      <c r="O35" s="4"/>
      <c r="P35" s="51"/>
    </row>
    <row r="36" spans="1:16" ht="12.75">
      <c r="A36" t="s">
        <v>25</v>
      </c>
      <c r="B36" s="7">
        <f>J14*1.5*100</f>
        <v>3955.05</v>
      </c>
      <c r="C36" s="50" t="s">
        <v>47</v>
      </c>
      <c r="D36" s="5" t="s">
        <v>108</v>
      </c>
      <c r="E36" s="5"/>
      <c r="F36" s="25"/>
      <c r="G36" s="8"/>
      <c r="H36" s="11"/>
      <c r="M36" s="52"/>
      <c r="N36" s="53"/>
      <c r="O36" s="54" t="s">
        <v>122</v>
      </c>
      <c r="P36" s="55">
        <f>(I34-K34)</f>
        <v>24059.75858364755</v>
      </c>
    </row>
    <row r="37" spans="1:16" ht="13.5" thickBot="1">
      <c r="A37" t="s">
        <v>26</v>
      </c>
      <c r="B37" s="66">
        <f>(J13)*8*11</f>
        <v>2884.844793869732</v>
      </c>
      <c r="C37" s="47" t="s">
        <v>48</v>
      </c>
      <c r="D37" s="9">
        <f>I26+I25+(0.9*I24)+(0.9*I23)</f>
        <v>185528.12277000002</v>
      </c>
      <c r="E37" s="9"/>
      <c r="F37" s="21" t="s">
        <v>88</v>
      </c>
      <c r="G37" s="8"/>
      <c r="H37" s="11"/>
      <c r="M37" s="56"/>
      <c r="N37" s="44"/>
      <c r="O37" s="44"/>
      <c r="P37" s="57"/>
    </row>
    <row r="38" spans="1:16" ht="12.75">
      <c r="A38" s="19" t="s">
        <v>1</v>
      </c>
      <c r="B38" s="22">
        <f>SUM(B36:B37)</f>
        <v>6839.894793869732</v>
      </c>
      <c r="C38" s="47" t="s">
        <v>29</v>
      </c>
      <c r="D38" s="9">
        <f>(0.67*((0.9*I5)+I6+I7+I8+I9))+((I6+I7+I8+I9)*0.05)</f>
        <v>158678.7034608</v>
      </c>
      <c r="E38" s="9"/>
      <c r="F38" s="29" t="s">
        <v>68</v>
      </c>
      <c r="G38" s="8"/>
      <c r="H38" s="11"/>
      <c r="M38" s="186" t="s">
        <v>112</v>
      </c>
      <c r="N38" s="187"/>
      <c r="O38" s="187"/>
      <c r="P38" s="129">
        <f>P34-P39</f>
        <v>777.5392578058697</v>
      </c>
    </row>
    <row r="39" spans="1:16" ht="12.75">
      <c r="A39" s="14"/>
      <c r="B39" s="7"/>
      <c r="C39" s="47" t="s">
        <v>49</v>
      </c>
      <c r="D39" s="9">
        <f>((0.9*I5)*0.33)+(0.33*(I6+I7+I8+I9))+((I6+I7+I8+I9)*0.08)</f>
        <v>87464.6938512</v>
      </c>
      <c r="E39" s="9"/>
      <c r="F39" s="29" t="s">
        <v>69</v>
      </c>
      <c r="G39" s="8"/>
      <c r="H39" s="11"/>
      <c r="M39" s="58"/>
      <c r="N39" s="187" t="s">
        <v>71</v>
      </c>
      <c r="O39" s="187"/>
      <c r="P39" s="133">
        <f>P19+P20+P21</f>
        <v>120.58983360000002</v>
      </c>
    </row>
    <row r="40" spans="1:16" ht="12.75">
      <c r="A40" s="19"/>
      <c r="B40" s="7"/>
      <c r="C40" s="47" t="s">
        <v>30</v>
      </c>
      <c r="D40" s="9">
        <f>I10+(0.1*I5)</f>
        <v>21210.46736</v>
      </c>
      <c r="E40" s="9"/>
      <c r="F40" s="21" t="s">
        <v>70</v>
      </c>
      <c r="G40" s="8"/>
      <c r="H40" s="11"/>
      <c r="M40" s="56"/>
      <c r="N40" s="185" t="s">
        <v>73</v>
      </c>
      <c r="O40" s="188"/>
      <c r="P40" s="59">
        <f>150000*0.001</f>
        <v>150</v>
      </c>
    </row>
    <row r="41" spans="1:16" ht="12.75">
      <c r="A41" s="19"/>
      <c r="B41" s="7"/>
      <c r="C41" s="47" t="s">
        <v>31</v>
      </c>
      <c r="D41" s="9">
        <f>I13+I14+I15+I16</f>
        <v>172370.46439386974</v>
      </c>
      <c r="E41" s="9"/>
      <c r="F41" s="21" t="s">
        <v>32</v>
      </c>
      <c r="G41" s="8"/>
      <c r="H41" s="11"/>
      <c r="M41" s="60"/>
      <c r="N41" s="61"/>
      <c r="O41" s="44" t="s">
        <v>27</v>
      </c>
      <c r="P41" s="134">
        <f>SUM(P38:P40)</f>
        <v>1048.1290914058698</v>
      </c>
    </row>
    <row r="42" spans="1:16" ht="12.75">
      <c r="A42" s="23" t="s">
        <v>28</v>
      </c>
      <c r="B42" s="7">
        <f>(I6+I7+I8+I9)*0.13</f>
        <v>21856.023072</v>
      </c>
      <c r="C42" s="47" t="s">
        <v>33</v>
      </c>
      <c r="D42" s="18">
        <f>I19+I20+I21+(0.1*I23)+(0.1*I24)</f>
        <v>132635.53565</v>
      </c>
      <c r="E42" s="18"/>
      <c r="F42" s="21" t="s">
        <v>51</v>
      </c>
      <c r="G42" s="8"/>
      <c r="H42" s="11"/>
      <c r="M42" s="63"/>
      <c r="N42" s="44"/>
      <c r="O42" s="44"/>
      <c r="P42" s="64"/>
    </row>
    <row r="43" spans="1:16" ht="12.75">
      <c r="A43" s="23"/>
      <c r="B43" s="22"/>
      <c r="C43" s="47" t="s">
        <v>46</v>
      </c>
      <c r="D43" s="18">
        <f>I27+I28</f>
        <v>7500</v>
      </c>
      <c r="E43" s="18"/>
      <c r="F43" s="21" t="s">
        <v>65</v>
      </c>
      <c r="G43" s="8"/>
      <c r="H43" s="11"/>
      <c r="M43" s="63"/>
      <c r="N43" s="44"/>
      <c r="O43" s="44"/>
      <c r="P43" s="57"/>
    </row>
    <row r="44" spans="1:16" ht="12.75">
      <c r="A44" s="19"/>
      <c r="B44" s="7"/>
      <c r="C44" s="47" t="s">
        <v>40</v>
      </c>
      <c r="D44" s="9">
        <f>SUM(I29:I30)</f>
        <v>21500.98392</v>
      </c>
      <c r="E44" s="9"/>
      <c r="F44" s="21" t="s">
        <v>67</v>
      </c>
      <c r="G44" s="8"/>
      <c r="H44" s="11"/>
      <c r="M44" s="60"/>
      <c r="N44" s="61" t="s">
        <v>53</v>
      </c>
      <c r="O44" s="61"/>
      <c r="P44" s="64">
        <f>SUM(O34-O44)</f>
        <v>11129.112711785112</v>
      </c>
    </row>
    <row r="45" spans="2:16" ht="12.75">
      <c r="B45" s="9"/>
      <c r="C45" s="47" t="s">
        <v>102</v>
      </c>
      <c r="D45" s="9">
        <f>I31</f>
        <v>4080</v>
      </c>
      <c r="E45" s="9"/>
      <c r="F45" s="21" t="s">
        <v>100</v>
      </c>
      <c r="G45" s="8"/>
      <c r="H45" s="8"/>
      <c r="I45" s="69"/>
      <c r="J45" s="69"/>
      <c r="K45" s="70"/>
      <c r="L45" s="70"/>
      <c r="M45" s="60"/>
      <c r="N45" s="61" t="s">
        <v>52</v>
      </c>
      <c r="O45" s="61"/>
      <c r="P45" s="62">
        <f>O19+O20+O21</f>
        <v>847.3112120000001</v>
      </c>
    </row>
    <row r="46" spans="2:16" ht="13.5" thickBot="1">
      <c r="B46" s="9"/>
      <c r="C46" s="151" t="s">
        <v>103</v>
      </c>
      <c r="D46" s="150">
        <f>I33</f>
        <v>52160.12</v>
      </c>
      <c r="E46" s="44"/>
      <c r="F46" s="29" t="s">
        <v>105</v>
      </c>
      <c r="G46" s="8"/>
      <c r="H46" s="8"/>
      <c r="I46" s="7"/>
      <c r="J46" s="7"/>
      <c r="K46" s="12"/>
      <c r="L46" s="12"/>
      <c r="M46" s="65"/>
      <c r="N46" s="66"/>
      <c r="O46" s="66" t="s">
        <v>27</v>
      </c>
      <c r="P46" s="67">
        <f>SUM(P44+P45)</f>
        <v>11976.423923785112</v>
      </c>
    </row>
    <row r="47" spans="1:16" ht="12.75">
      <c r="A47" s="24"/>
      <c r="B47" s="24"/>
      <c r="C47" s="47" t="s">
        <v>34</v>
      </c>
      <c r="D47" s="44">
        <f>SUM(D37:D46)</f>
        <v>843129.0914058698</v>
      </c>
      <c r="E47" s="7"/>
      <c r="F47" s="14" t="s">
        <v>118</v>
      </c>
      <c r="G47" s="13">
        <f>38648.65*1.02</f>
        <v>39421.623</v>
      </c>
      <c r="H47" s="5"/>
      <c r="I47" s="25"/>
      <c r="J47" s="25"/>
      <c r="K47" s="68"/>
      <c r="L47" s="68"/>
      <c r="M47" s="26"/>
      <c r="N47" s="5"/>
      <c r="O47" s="27"/>
      <c r="P47" s="28"/>
    </row>
    <row r="48" spans="2:16" ht="12.75">
      <c r="B48" s="9"/>
      <c r="C48" s="47"/>
      <c r="D48" s="7"/>
      <c r="E48" s="7"/>
      <c r="F48" s="7"/>
      <c r="G48" s="8"/>
      <c r="H48" s="8"/>
      <c r="I48" s="7"/>
      <c r="J48" s="7"/>
      <c r="K48" s="51"/>
      <c r="L48" s="51"/>
      <c r="M48" s="20"/>
      <c r="N48" s="8"/>
      <c r="O48" s="27"/>
      <c r="P48" s="9"/>
    </row>
  </sheetData>
  <sheetProtection/>
  <mergeCells count="3">
    <mergeCell ref="M38:O38"/>
    <mergeCell ref="N39:O39"/>
    <mergeCell ref="N40:O40"/>
  </mergeCells>
  <printOptions gridLines="1" horizontalCentered="1" verticalCentered="1"/>
  <pageMargins left="0.25" right="0" top="0.75" bottom="0.25" header="0.5" footer="0.5"/>
  <pageSetup horizontalDpi="600" verticalDpi="600" orientation="landscape" paperSize="5" scale="90" r:id="rId1"/>
  <headerFooter alignWithMargins="0">
    <oddHeader>&amp;LSalary FY 2020 2.0%
&amp;R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6" width="11.7109375" style="0" customWidth="1"/>
    <col min="7" max="8" width="10.7109375" style="0" customWidth="1"/>
    <col min="9" max="11" width="11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2.7109375" style="0" customWidth="1"/>
  </cols>
  <sheetData>
    <row r="1" spans="1:16" ht="12.75">
      <c r="A1" s="135">
        <v>0.025</v>
      </c>
      <c r="B1" s="2"/>
      <c r="C1" s="45" t="s">
        <v>58</v>
      </c>
      <c r="D1" s="1" t="s">
        <v>107</v>
      </c>
      <c r="E1" s="1" t="s">
        <v>113</v>
      </c>
      <c r="F1" s="1" t="s">
        <v>113</v>
      </c>
      <c r="G1" s="1"/>
      <c r="H1" s="1"/>
      <c r="I1" s="1" t="s">
        <v>114</v>
      </c>
      <c r="J1" s="1" t="s">
        <v>114</v>
      </c>
      <c r="K1" s="1" t="s">
        <v>108</v>
      </c>
      <c r="L1" s="3"/>
      <c r="M1" s="3"/>
      <c r="N1" s="1"/>
      <c r="O1" s="34"/>
      <c r="P1" s="1"/>
    </row>
    <row r="2" spans="1:15" ht="12.75">
      <c r="A2" s="1"/>
      <c r="B2" s="2"/>
      <c r="C2" s="45" t="s">
        <v>10</v>
      </c>
      <c r="D2" s="2" t="s">
        <v>54</v>
      </c>
      <c r="E2" s="2" t="s">
        <v>56</v>
      </c>
      <c r="F2" s="2" t="s">
        <v>5</v>
      </c>
      <c r="G2" s="2" t="s">
        <v>0</v>
      </c>
      <c r="H2" s="2"/>
      <c r="I2" s="1" t="s">
        <v>1</v>
      </c>
      <c r="J2" s="1" t="s">
        <v>35</v>
      </c>
      <c r="K2" s="2" t="s">
        <v>2</v>
      </c>
      <c r="L2" s="1" t="s">
        <v>35</v>
      </c>
      <c r="M2" s="1" t="s">
        <v>38</v>
      </c>
      <c r="N2" s="1"/>
      <c r="O2" s="4"/>
    </row>
    <row r="3" spans="1:16" ht="12.75">
      <c r="A3" s="1"/>
      <c r="B3" s="2" t="s">
        <v>3</v>
      </c>
      <c r="C3" s="45" t="s">
        <v>59</v>
      </c>
      <c r="D3" s="2" t="s">
        <v>4</v>
      </c>
      <c r="E3" s="2" t="s">
        <v>57</v>
      </c>
      <c r="F3" s="1" t="s">
        <v>54</v>
      </c>
      <c r="G3" s="2" t="s">
        <v>44</v>
      </c>
      <c r="H3" s="2" t="s">
        <v>89</v>
      </c>
      <c r="I3" s="1" t="s">
        <v>5</v>
      </c>
      <c r="J3" s="1" t="s">
        <v>4</v>
      </c>
      <c r="K3" s="2" t="s">
        <v>5</v>
      </c>
      <c r="L3" s="3" t="s">
        <v>13</v>
      </c>
      <c r="M3" s="3" t="s">
        <v>6</v>
      </c>
      <c r="N3" s="1" t="s">
        <v>7</v>
      </c>
      <c r="O3" s="1" t="s">
        <v>7</v>
      </c>
      <c r="P3" s="40" t="s">
        <v>8</v>
      </c>
    </row>
    <row r="4" spans="1:16" ht="12.75">
      <c r="A4" s="36" t="s">
        <v>9</v>
      </c>
      <c r="B4" s="37" t="s">
        <v>10</v>
      </c>
      <c r="C4" s="46" t="s">
        <v>60</v>
      </c>
      <c r="D4" s="37" t="s">
        <v>11</v>
      </c>
      <c r="E4" s="37" t="s">
        <v>11</v>
      </c>
      <c r="F4" s="37" t="s">
        <v>11</v>
      </c>
      <c r="G4" s="37" t="s">
        <v>12</v>
      </c>
      <c r="H4" s="37"/>
      <c r="I4" s="36" t="s">
        <v>11</v>
      </c>
      <c r="J4" s="36" t="s">
        <v>11</v>
      </c>
      <c r="K4" s="37" t="s">
        <v>11</v>
      </c>
      <c r="L4" s="36" t="s">
        <v>90</v>
      </c>
      <c r="M4" s="38" t="s">
        <v>13</v>
      </c>
      <c r="N4" s="36" t="s">
        <v>14</v>
      </c>
      <c r="O4" s="39" t="s">
        <v>15</v>
      </c>
      <c r="P4" s="36" t="s">
        <v>16</v>
      </c>
    </row>
    <row r="5" spans="1:17" ht="12.75">
      <c r="A5" t="str">
        <f>'FY2020'!A5</f>
        <v>Steve Daby</v>
      </c>
      <c r="B5" s="6">
        <f>'FY2020'!B5</f>
        <v>23</v>
      </c>
      <c r="C5" s="47">
        <v>40</v>
      </c>
      <c r="D5" s="8">
        <f>'FY2020'!D5</f>
        <v>28.01</v>
      </c>
      <c r="E5" s="8">
        <f aca="true" t="shared" si="0" ref="E5:E10">(D5*1)*0.025+D5</f>
        <v>28.710250000000002</v>
      </c>
      <c r="F5" s="8">
        <f>E5*8*261</f>
        <v>59947.00200000001</v>
      </c>
      <c r="G5" s="8" t="str">
        <f aca="true" t="shared" si="1" ref="G5:G10">IF(B5&gt;=25,"1000",IF(B5&gt;=20,"750",IF(B5&gt;=15,"500",IF(B5&gt;=10,"250","0"))))</f>
        <v>750</v>
      </c>
      <c r="H5" s="41">
        <v>2000</v>
      </c>
      <c r="I5" s="8">
        <f aca="true" t="shared" si="2" ref="I5:I10">F5+G5+H5</f>
        <v>62697.00200000001</v>
      </c>
      <c r="J5" s="8">
        <f>I5/8/261</f>
        <v>30.027299808429124</v>
      </c>
      <c r="K5" s="8">
        <f>'FY2020'!K5</f>
        <v>58416.6</v>
      </c>
      <c r="L5" s="158">
        <f aca="true" t="shared" si="3" ref="L5:L10">(J5-D5)/D5</f>
        <v>0.07202070005102186</v>
      </c>
      <c r="M5" s="158">
        <f>(E5-D5)/D5</f>
        <v>0.025000000000000015</v>
      </c>
      <c r="N5" s="11" t="s">
        <v>17</v>
      </c>
      <c r="O5" s="159">
        <f>I5*0.0145</f>
        <v>909.1065290000001</v>
      </c>
      <c r="P5" s="159">
        <f>I5*0.001</f>
        <v>62.69700200000001</v>
      </c>
      <c r="Q5" s="11"/>
    </row>
    <row r="6" spans="1:17" ht="12.75">
      <c r="A6" t="str">
        <f>'FY2020'!A6</f>
        <v>Michael Lovett</v>
      </c>
      <c r="B6" s="6">
        <f>'FY2020'!B6</f>
        <v>1</v>
      </c>
      <c r="C6" s="47">
        <v>40</v>
      </c>
      <c r="D6" s="8">
        <f>'FY2020'!D6</f>
        <v>19.48</v>
      </c>
      <c r="E6" s="8">
        <f t="shared" si="0"/>
        <v>19.967</v>
      </c>
      <c r="F6" s="8">
        <f>E6*8*261</f>
        <v>41691.096</v>
      </c>
      <c r="G6" s="8" t="str">
        <f t="shared" si="1"/>
        <v>0</v>
      </c>
      <c r="H6" s="41"/>
      <c r="I6" s="8">
        <f t="shared" si="2"/>
        <v>41691.096</v>
      </c>
      <c r="J6" s="8">
        <f>I6/8/261</f>
        <v>19.967</v>
      </c>
      <c r="K6" s="8">
        <f>'FY2020'!K6</f>
        <v>40674.24</v>
      </c>
      <c r="L6" s="158">
        <f t="shared" si="3"/>
        <v>0.024999999999999915</v>
      </c>
      <c r="M6" s="158">
        <f>(E6-D6)/D6</f>
        <v>0.024999999999999915</v>
      </c>
      <c r="N6" s="11" t="s">
        <v>17</v>
      </c>
      <c r="O6" s="159">
        <f aca="true" t="shared" si="4" ref="O6:O11">I6*0.0145</f>
        <v>604.520892</v>
      </c>
      <c r="P6" s="159">
        <f aca="true" t="shared" si="5" ref="P6:P33">I6*0.001</f>
        <v>41.691096</v>
      </c>
      <c r="Q6" s="11"/>
    </row>
    <row r="7" spans="1:17" ht="12.75">
      <c r="A7" s="15" t="str">
        <f>'FY2020'!A7</f>
        <v>Larry Davis</v>
      </c>
      <c r="B7" s="6">
        <f>'FY2020'!B7</f>
        <v>3</v>
      </c>
      <c r="C7" s="47">
        <v>40</v>
      </c>
      <c r="D7" s="8">
        <f>'FY2020'!D7</f>
        <v>19.48</v>
      </c>
      <c r="E7" s="8">
        <f t="shared" si="0"/>
        <v>19.967</v>
      </c>
      <c r="F7" s="8">
        <f>E7*8*261</f>
        <v>41691.096</v>
      </c>
      <c r="G7" s="8" t="str">
        <f t="shared" si="1"/>
        <v>0</v>
      </c>
      <c r="H7" s="41"/>
      <c r="I7" s="8">
        <f t="shared" si="2"/>
        <v>41691.096</v>
      </c>
      <c r="J7" s="8">
        <f>I7/8/261</f>
        <v>19.967</v>
      </c>
      <c r="K7" s="8">
        <f>'FY2020'!K7</f>
        <v>40674.24</v>
      </c>
      <c r="L7" s="158">
        <f t="shared" si="3"/>
        <v>0.024999999999999915</v>
      </c>
      <c r="M7" s="158">
        <f>(E7-D7)/D7</f>
        <v>0.024999999999999915</v>
      </c>
      <c r="N7" s="11" t="s">
        <v>17</v>
      </c>
      <c r="O7" s="159">
        <f t="shared" si="4"/>
        <v>604.520892</v>
      </c>
      <c r="P7" s="159">
        <f t="shared" si="5"/>
        <v>41.691096</v>
      </c>
      <c r="Q7" s="11"/>
    </row>
    <row r="8" spans="1:17" ht="12.75">
      <c r="A8" t="str">
        <f>'FY2020'!A8</f>
        <v>Norm Daby </v>
      </c>
      <c r="B8" s="6">
        <f>'FY2020'!B8</f>
        <v>4</v>
      </c>
      <c r="C8" s="47">
        <v>40</v>
      </c>
      <c r="D8" s="8">
        <f>'FY2020'!D8</f>
        <v>20.5</v>
      </c>
      <c r="E8" s="8">
        <f t="shared" si="0"/>
        <v>21.0125</v>
      </c>
      <c r="F8" s="8">
        <f>E8*8*261</f>
        <v>43874.1</v>
      </c>
      <c r="G8" s="8" t="str">
        <f t="shared" si="1"/>
        <v>0</v>
      </c>
      <c r="H8" s="41"/>
      <c r="I8" s="8">
        <f t="shared" si="2"/>
        <v>43874.1</v>
      </c>
      <c r="J8" s="8">
        <f>I8/8/261</f>
        <v>21.0125</v>
      </c>
      <c r="K8" s="8">
        <f>'FY2020'!K9</f>
        <v>40674.24</v>
      </c>
      <c r="L8" s="158">
        <f t="shared" si="3"/>
        <v>0.024999999999999967</v>
      </c>
      <c r="M8" s="158">
        <f>(E8-D8)/D8</f>
        <v>0.024999999999999967</v>
      </c>
      <c r="N8" s="11" t="s">
        <v>17</v>
      </c>
      <c r="O8" s="159">
        <f t="shared" si="4"/>
        <v>636.17445</v>
      </c>
      <c r="P8" s="159">
        <f t="shared" si="5"/>
        <v>43.8741</v>
      </c>
      <c r="Q8" s="11"/>
    </row>
    <row r="9" spans="1:17" ht="12.75">
      <c r="A9" t="str">
        <f>'FY2020'!A9</f>
        <v>Curtis Neill (after probationary)</v>
      </c>
      <c r="B9" s="6">
        <f>'FY2020'!B9</f>
        <v>1</v>
      </c>
      <c r="C9" s="47">
        <v>40</v>
      </c>
      <c r="D9" s="8">
        <f>'FY2020'!D9</f>
        <v>19.48</v>
      </c>
      <c r="E9" s="8">
        <f t="shared" si="0"/>
        <v>19.967</v>
      </c>
      <c r="F9" s="8">
        <f>E9*8*261</f>
        <v>41691.096</v>
      </c>
      <c r="G9" s="8" t="str">
        <f t="shared" si="1"/>
        <v>0</v>
      </c>
      <c r="H9" s="41"/>
      <c r="I9" s="8">
        <f t="shared" si="2"/>
        <v>41691.096</v>
      </c>
      <c r="J9" s="8">
        <f>I9/8/261</f>
        <v>19.967</v>
      </c>
      <c r="K9" s="8">
        <f>'FY2020'!K8</f>
        <v>42804</v>
      </c>
      <c r="L9" s="158">
        <f t="shared" si="3"/>
        <v>0.024999999999999915</v>
      </c>
      <c r="M9" s="158"/>
      <c r="N9" s="11" t="s">
        <v>17</v>
      </c>
      <c r="O9" s="159">
        <f t="shared" si="4"/>
        <v>604.520892</v>
      </c>
      <c r="P9" s="159">
        <f t="shared" si="5"/>
        <v>41.691096</v>
      </c>
      <c r="Q9" s="11"/>
    </row>
    <row r="10" spans="1:17" ht="12.75">
      <c r="A10" t="s">
        <v>74</v>
      </c>
      <c r="B10" s="6"/>
      <c r="C10" s="47">
        <v>18</v>
      </c>
      <c r="D10" s="8">
        <f>'FY2020'!D10</f>
        <v>15.68</v>
      </c>
      <c r="E10" s="8">
        <f t="shared" si="0"/>
        <v>16.072</v>
      </c>
      <c r="F10" s="8">
        <f>E10*18*52</f>
        <v>15043.392</v>
      </c>
      <c r="G10" s="8" t="str">
        <f t="shared" si="1"/>
        <v>0</v>
      </c>
      <c r="H10" s="42"/>
      <c r="I10" s="8">
        <f t="shared" si="2"/>
        <v>15043.392</v>
      </c>
      <c r="J10" s="8">
        <f>I10/18/52</f>
        <v>16.072</v>
      </c>
      <c r="K10" s="8">
        <f>'FY2020'!K10</f>
        <v>14676.48</v>
      </c>
      <c r="L10" s="158">
        <f t="shared" si="3"/>
        <v>0.024999999999999967</v>
      </c>
      <c r="M10" s="158">
        <f>(E10-D10)/D10</f>
        <v>0.024999999999999967</v>
      </c>
      <c r="N10" s="11" t="s">
        <v>17</v>
      </c>
      <c r="O10" s="159">
        <f t="shared" si="4"/>
        <v>218.129184</v>
      </c>
      <c r="P10" s="159">
        <f t="shared" si="5"/>
        <v>15.043392</v>
      </c>
      <c r="Q10" s="11"/>
    </row>
    <row r="11" spans="1:17" ht="12.75">
      <c r="A11" t="s">
        <v>36</v>
      </c>
      <c r="B11" s="6"/>
      <c r="C11" s="47"/>
      <c r="D11" s="8"/>
      <c r="E11" s="8"/>
      <c r="F11" s="8">
        <f>I11</f>
        <v>21963.16044</v>
      </c>
      <c r="G11" s="8"/>
      <c r="H11" s="42"/>
      <c r="I11" s="13">
        <f>((I6+I7+I8+I9)*0.08)+((I6+I7+I8+I9)*0.05)</f>
        <v>21963.16044</v>
      </c>
      <c r="J11" s="8"/>
      <c r="K11" s="8">
        <f>'FY2020'!K11</f>
        <v>21427.4736</v>
      </c>
      <c r="L11" s="158"/>
      <c r="M11" s="158"/>
      <c r="N11" s="11" t="s">
        <v>17</v>
      </c>
      <c r="O11" s="159">
        <f t="shared" si="4"/>
        <v>318.46582638</v>
      </c>
      <c r="P11" s="159">
        <f t="shared" si="5"/>
        <v>21.96316044</v>
      </c>
      <c r="Q11" s="11"/>
    </row>
    <row r="12" spans="2:17" ht="12.75">
      <c r="B12" s="9"/>
      <c r="C12" s="47"/>
      <c r="D12" s="8"/>
      <c r="E12" s="8"/>
      <c r="F12" s="8"/>
      <c r="G12" s="8"/>
      <c r="H12" s="11"/>
      <c r="I12" s="8"/>
      <c r="J12" s="11"/>
      <c r="K12" s="8"/>
      <c r="L12" s="158"/>
      <c r="M12" s="158"/>
      <c r="N12" s="11"/>
      <c r="O12" s="159"/>
      <c r="P12" s="159"/>
      <c r="Q12" s="11"/>
    </row>
    <row r="13" spans="1:17" ht="12.75">
      <c r="A13" t="str">
        <f>'FY2020'!A13</f>
        <v>Jim Hicks</v>
      </c>
      <c r="B13" s="6">
        <f>'FY2020'!B13</f>
        <v>36</v>
      </c>
      <c r="C13" s="47">
        <v>40</v>
      </c>
      <c r="D13" s="8">
        <f>'FY2020'!D13</f>
        <v>31.67</v>
      </c>
      <c r="E13" s="8">
        <f>(D13*1)*0.025+D13</f>
        <v>32.46175</v>
      </c>
      <c r="F13" s="8">
        <f>E13*8*261</f>
        <v>67780.134</v>
      </c>
      <c r="G13" s="8" t="str">
        <f>IF(B13&gt;=25,"1000",IF(B13&gt;=20,"750",IF(B13&gt;=15,"500",IF(B13&gt;=10,"250","0"))))</f>
        <v>1000</v>
      </c>
      <c r="H13" s="41"/>
      <c r="I13" s="8">
        <f>F13+G13+H13</f>
        <v>68780.134</v>
      </c>
      <c r="J13" s="8">
        <f>I13/8/261</f>
        <v>32.940677203065135</v>
      </c>
      <c r="K13" s="8">
        <f>'FY2020'!K13</f>
        <v>67126.96</v>
      </c>
      <c r="L13" s="158">
        <f>(J13-D13)/D13</f>
        <v>0.04012242510467741</v>
      </c>
      <c r="M13" s="158">
        <f>(E13-D13)/D13</f>
        <v>0.025000000000000012</v>
      </c>
      <c r="N13" s="11" t="s">
        <v>20</v>
      </c>
      <c r="O13" s="159">
        <v>0</v>
      </c>
      <c r="P13" s="159">
        <f t="shared" si="5"/>
        <v>68.780134</v>
      </c>
      <c r="Q13" s="11"/>
    </row>
    <row r="14" spans="1:17" ht="12.75">
      <c r="A14" t="str">
        <f>'FY2020'!A14</f>
        <v>Kurt Gilmore</v>
      </c>
      <c r="B14" s="6">
        <f>'FY2020'!B14</f>
        <v>7</v>
      </c>
      <c r="C14" s="47">
        <v>40</v>
      </c>
      <c r="D14" s="8">
        <f>'FY2020'!D14</f>
        <v>25.85</v>
      </c>
      <c r="E14" s="8">
        <f>(D14*1)*0.025+D14</f>
        <v>26.49625</v>
      </c>
      <c r="F14" s="8">
        <f>E14*8*261</f>
        <v>55324.17</v>
      </c>
      <c r="G14" s="8" t="str">
        <f>IF(B14&gt;=25,"1000",IF(B14&gt;=20,"750",IF(B14&gt;=15,"500",IF(B14&gt;=10,"250","0"))))</f>
        <v>0</v>
      </c>
      <c r="H14" s="41"/>
      <c r="I14" s="8">
        <f>F14+G14+H14</f>
        <v>55324.17</v>
      </c>
      <c r="J14" s="8">
        <f>I14/8/261</f>
        <v>26.49625</v>
      </c>
      <c r="K14" s="8">
        <f>'FY2020'!K14</f>
        <v>53974.8</v>
      </c>
      <c r="L14" s="158">
        <f>(J14-D14)/D14</f>
        <v>0.02499999999999994</v>
      </c>
      <c r="M14" s="158">
        <f>(E14-D14)/D14</f>
        <v>0.02499999999999994</v>
      </c>
      <c r="N14" s="11" t="s">
        <v>17</v>
      </c>
      <c r="O14" s="159">
        <f>I14*0.0145</f>
        <v>802.200465</v>
      </c>
      <c r="P14" s="159">
        <f t="shared" si="5"/>
        <v>55.32417</v>
      </c>
      <c r="Q14" s="11"/>
    </row>
    <row r="15" spans="1:17" ht="12.75">
      <c r="A15" s="15" t="s">
        <v>21</v>
      </c>
      <c r="B15" s="16"/>
      <c r="C15" s="47" t="s">
        <v>79</v>
      </c>
      <c r="D15" s="8">
        <f>'FY2020'!D15</f>
        <v>18.46</v>
      </c>
      <c r="E15" s="8">
        <f>(D15*1)*0.025+D15</f>
        <v>18.9215</v>
      </c>
      <c r="F15" s="8">
        <f>E15*2232</f>
        <v>42232.788</v>
      </c>
      <c r="G15" s="8" t="str">
        <f>IF(B15&gt;=25,"1000",IF(B15&gt;=20,"750",IF(B15&gt;=15,"500",IF(B15&gt;=10,"250","0"))))</f>
        <v>0</v>
      </c>
      <c r="H15" s="42"/>
      <c r="I15" s="8">
        <f>F15+G15+H15</f>
        <v>42232.788</v>
      </c>
      <c r="J15" s="8">
        <f>E15</f>
        <v>18.9215</v>
      </c>
      <c r="K15" s="8">
        <f>'FY2020'!K15</f>
        <v>39212.89</v>
      </c>
      <c r="L15" s="158">
        <f>(J15-D15)/D15</f>
        <v>0.025000000000000046</v>
      </c>
      <c r="M15" s="158">
        <f>(E15-D15)/D15</f>
        <v>0.025000000000000046</v>
      </c>
      <c r="N15" s="11" t="s">
        <v>17</v>
      </c>
      <c r="O15" s="159">
        <f>I15*0.0145</f>
        <v>612.3754260000001</v>
      </c>
      <c r="P15" s="159">
        <f t="shared" si="5"/>
        <v>42.232788</v>
      </c>
      <c r="Q15" s="11"/>
    </row>
    <row r="16" spans="1:17" ht="12.75">
      <c r="A16" s="15" t="s">
        <v>61</v>
      </c>
      <c r="B16" s="16"/>
      <c r="C16" s="47" t="s">
        <v>62</v>
      </c>
      <c r="D16" s="8"/>
      <c r="E16" s="8"/>
      <c r="F16" s="8">
        <f>I16</f>
        <v>6873.217093869732</v>
      </c>
      <c r="G16" s="8" t="str">
        <f>IF(B16&gt;=25,"1000",IF(B16&gt;=20,"750",IF(B16&gt;=15,"500",IF(B16&gt;=10,"250","0"))))</f>
        <v>0</v>
      </c>
      <c r="H16" s="42"/>
      <c r="I16" s="8">
        <f>B38</f>
        <v>6873.217093869732</v>
      </c>
      <c r="J16" s="8"/>
      <c r="K16" s="8">
        <f>'FY2020'!K16</f>
        <v>6706.605593869732</v>
      </c>
      <c r="L16" s="158">
        <v>0</v>
      </c>
      <c r="M16" s="158">
        <v>0</v>
      </c>
      <c r="N16" s="17" t="s">
        <v>17</v>
      </c>
      <c r="O16" s="159">
        <f>I16*0.0145</f>
        <v>99.66164786111112</v>
      </c>
      <c r="P16" s="159">
        <f t="shared" si="5"/>
        <v>6.873217093869732</v>
      </c>
      <c r="Q16" s="11"/>
    </row>
    <row r="17" spans="1:17" ht="12.75">
      <c r="A17" s="15" t="s">
        <v>55</v>
      </c>
      <c r="B17" s="16"/>
      <c r="C17" s="47"/>
      <c r="D17" s="8"/>
      <c r="E17" s="8"/>
      <c r="F17" s="8">
        <v>0</v>
      </c>
      <c r="G17" s="8"/>
      <c r="H17" s="42"/>
      <c r="I17" s="8">
        <v>0</v>
      </c>
      <c r="J17" s="8"/>
      <c r="K17" s="8">
        <f>I17</f>
        <v>0</v>
      </c>
      <c r="L17" s="158"/>
      <c r="M17" s="158">
        <v>0</v>
      </c>
      <c r="N17" s="17"/>
      <c r="O17" s="159">
        <v>0</v>
      </c>
      <c r="P17" s="159">
        <f t="shared" si="5"/>
        <v>0</v>
      </c>
      <c r="Q17" s="11"/>
    </row>
    <row r="18" spans="1:17" ht="12.75">
      <c r="A18" s="15"/>
      <c r="B18" s="16"/>
      <c r="C18" s="47"/>
      <c r="D18" s="8"/>
      <c r="E18" s="8"/>
      <c r="F18" s="8"/>
      <c r="G18" s="8"/>
      <c r="H18" s="42"/>
      <c r="I18" s="8"/>
      <c r="J18" s="8"/>
      <c r="K18" s="8"/>
      <c r="L18" s="158"/>
      <c r="M18" s="158"/>
      <c r="N18" s="17"/>
      <c r="O18" s="159"/>
      <c r="P18" s="159"/>
      <c r="Q18" s="11"/>
    </row>
    <row r="19" spans="1:17" ht="12.75">
      <c r="A19" t="s">
        <v>22</v>
      </c>
      <c r="B19" s="6">
        <f>'FY2020'!B19</f>
        <v>38</v>
      </c>
      <c r="C19" s="47">
        <v>40</v>
      </c>
      <c r="D19" s="8">
        <f>'FY2020'!D19</f>
        <v>28.01</v>
      </c>
      <c r="E19" s="8">
        <f>(D19*1)*0.025+D19</f>
        <v>28.710250000000002</v>
      </c>
      <c r="F19" s="8">
        <f>E19*8*261</f>
        <v>59947.00200000001</v>
      </c>
      <c r="G19" s="41" t="str">
        <f>IF(B19&gt;=25,"1000",IF(B19&gt;=20,"750",IF(B19&gt;=15,"500",IF(B19&gt;=10,"250","0"))))</f>
        <v>1000</v>
      </c>
      <c r="H19" s="41">
        <v>1500</v>
      </c>
      <c r="I19" s="8">
        <f>F19+G19+H19</f>
        <v>62447.00200000001</v>
      </c>
      <c r="J19" s="8">
        <f>I19/8/261</f>
        <v>29.90756800766284</v>
      </c>
      <c r="K19" s="8">
        <f>'FY2020'!K19</f>
        <v>60984.880000000005</v>
      </c>
      <c r="L19" s="158">
        <f>(J19-D19)/D19</f>
        <v>0.06774609095547438</v>
      </c>
      <c r="M19" s="158">
        <f>(E19-D19)/D19</f>
        <v>0.025000000000000015</v>
      </c>
      <c r="N19" s="11" t="s">
        <v>20</v>
      </c>
      <c r="O19" s="159">
        <v>0</v>
      </c>
      <c r="P19" s="159">
        <f t="shared" si="5"/>
        <v>62.44700200000001</v>
      </c>
      <c r="Q19" s="11"/>
    </row>
    <row r="20" spans="1:17" ht="12.75">
      <c r="A20" t="s">
        <v>96</v>
      </c>
      <c r="B20" s="6">
        <f>'FY2020'!B20</f>
        <v>3</v>
      </c>
      <c r="C20" s="47">
        <v>40</v>
      </c>
      <c r="D20" s="8">
        <f>'FY2020'!D20</f>
        <v>21.85</v>
      </c>
      <c r="E20" s="8">
        <f>(D20*1)*0.025+D20</f>
        <v>22.396250000000002</v>
      </c>
      <c r="F20" s="8">
        <f>E20*8*261</f>
        <v>46763.37</v>
      </c>
      <c r="G20" s="8" t="str">
        <f>IF(B20&gt;=25,"1000",IF(B20&gt;=20,"750",IF(B20&gt;=15,"500",IF(B20&gt;=10,"250","0"))))</f>
        <v>0</v>
      </c>
      <c r="H20" s="41">
        <v>1000</v>
      </c>
      <c r="I20" s="8">
        <f>F20+G20+H20</f>
        <v>47763.37</v>
      </c>
      <c r="J20" s="8">
        <f>I20/8/261</f>
        <v>22.875177203065135</v>
      </c>
      <c r="K20" s="8">
        <f>'FY2020'!K20</f>
        <v>46622.8</v>
      </c>
      <c r="L20" s="158">
        <f>(J20-D20)/D20</f>
        <v>0.046918865128839075</v>
      </c>
      <c r="M20" s="158">
        <f>(E20-D20)/D20</f>
        <v>0.025000000000000026</v>
      </c>
      <c r="N20" s="11" t="s">
        <v>17</v>
      </c>
      <c r="O20" s="159">
        <f>I20*0.0145</f>
        <v>692.5688650000001</v>
      </c>
      <c r="P20" s="159">
        <f t="shared" si="5"/>
        <v>47.76337</v>
      </c>
      <c r="Q20" s="11"/>
    </row>
    <row r="21" spans="1:17" ht="12.75">
      <c r="A21" t="s">
        <v>23</v>
      </c>
      <c r="B21" s="6"/>
      <c r="C21" s="47"/>
      <c r="D21" s="8"/>
      <c r="E21" s="8"/>
      <c r="F21" s="8">
        <f>(182*J19)+(182*J20)</f>
        <v>9606.459628352492</v>
      </c>
      <c r="G21" s="8" t="str">
        <f>IF(B21&gt;=25,"1000",IF(B21&gt;=20,"750",IF(B21&gt;=15,"500",IF(B21&gt;=10,"250","0"))))</f>
        <v>0</v>
      </c>
      <c r="H21" s="41"/>
      <c r="I21" s="8">
        <f>F21</f>
        <v>9606.459628352492</v>
      </c>
      <c r="J21" s="8"/>
      <c r="K21" s="8">
        <f>'FY2020'!K21</f>
        <v>9379.59662835249</v>
      </c>
      <c r="L21" s="158"/>
      <c r="M21" s="158"/>
      <c r="N21" s="11" t="s">
        <v>17</v>
      </c>
      <c r="O21" s="159">
        <f>I21*0.0145</f>
        <v>139.29366461111113</v>
      </c>
      <c r="P21" s="159">
        <f t="shared" si="5"/>
        <v>9.606459628352491</v>
      </c>
      <c r="Q21" s="11"/>
    </row>
    <row r="22" spans="2:17" ht="12.75">
      <c r="B22" s="6"/>
      <c r="C22" s="47"/>
      <c r="D22" s="8"/>
      <c r="E22" s="8"/>
      <c r="F22" s="8"/>
      <c r="G22" s="8"/>
      <c r="H22" s="41"/>
      <c r="I22" s="8"/>
      <c r="J22" s="8"/>
      <c r="K22" s="8"/>
      <c r="L22" s="158"/>
      <c r="M22" s="158"/>
      <c r="N22" s="11"/>
      <c r="O22" s="159"/>
      <c r="P22" s="159"/>
      <c r="Q22" s="11"/>
    </row>
    <row r="23" spans="1:17" ht="12.75">
      <c r="A23" t="str">
        <f>'FY2020'!A23</f>
        <v>Town Administrator (old rate, from contract)</v>
      </c>
      <c r="B23" s="6">
        <f>'FY2020'!B23</f>
        <v>0</v>
      </c>
      <c r="C23" s="47">
        <v>40</v>
      </c>
      <c r="D23" s="8">
        <f>'FY2020'!D23</f>
        <v>32.56704980842912</v>
      </c>
      <c r="E23" s="8">
        <f>'FY2020'!E23</f>
        <v>34.00383141762452</v>
      </c>
      <c r="F23" s="8">
        <f>'FY2020'!F23</f>
        <v>71000</v>
      </c>
      <c r="G23" s="41">
        <v>0</v>
      </c>
      <c r="H23" s="41"/>
      <c r="I23" s="8">
        <f>F23+G23+H23</f>
        <v>71000</v>
      </c>
      <c r="J23" s="8">
        <f>I23/8/261</f>
        <v>34.00383141762452</v>
      </c>
      <c r="K23" s="8">
        <f>'FY2020'!K23</f>
        <v>68000</v>
      </c>
      <c r="L23" s="158">
        <f>(J23-D23)/D23</f>
        <v>0.04411764705882345</v>
      </c>
      <c r="M23" s="158">
        <f>(E23-D23)/D23</f>
        <v>0.04411764705882345</v>
      </c>
      <c r="N23" s="11" t="s">
        <v>17</v>
      </c>
      <c r="O23" s="159">
        <f aca="true" t="shared" si="6" ref="O23:O33">I23*0.0145</f>
        <v>1029.5</v>
      </c>
      <c r="P23" s="159">
        <f t="shared" si="5"/>
        <v>71</v>
      </c>
      <c r="Q23" s="11"/>
    </row>
    <row r="24" spans="1:17" ht="12.75">
      <c r="A24" t="str">
        <f>'FY2020'!A24</f>
        <v>Lisa Blackmer</v>
      </c>
      <c r="B24" s="6">
        <f>'FY2020'!B24</f>
        <v>4</v>
      </c>
      <c r="C24" s="177">
        <v>37.5</v>
      </c>
      <c r="D24" s="8">
        <f>'FY2020'!D24</f>
        <v>24.77</v>
      </c>
      <c r="E24" s="8">
        <f>(D24*1)*0.025+D24</f>
        <v>25.38925</v>
      </c>
      <c r="F24" s="8">
        <f>E24*7.5*261</f>
        <v>49699.456875</v>
      </c>
      <c r="G24" s="8" t="str">
        <f>IF(B24&gt;=25,"1000",IF(B24&gt;=20,"750",IF(B24&gt;=15,"500",IF(B24&gt;=10,"250","0"))))</f>
        <v>0</v>
      </c>
      <c r="H24" s="41"/>
      <c r="I24" s="8">
        <f>F24+G24+H24</f>
        <v>49699.456875</v>
      </c>
      <c r="J24" s="8">
        <f>I24/7.5/261</f>
        <v>25.38925</v>
      </c>
      <c r="K24" s="8">
        <f>'FY2020'!K24</f>
        <v>48487.275</v>
      </c>
      <c r="L24" s="158">
        <f>(J24-D24)/D24</f>
        <v>0.02500000000000004</v>
      </c>
      <c r="M24" s="158">
        <f>(E24-D24)/D24</f>
        <v>0.02500000000000004</v>
      </c>
      <c r="N24" s="11" t="s">
        <v>17</v>
      </c>
      <c r="O24" s="159">
        <f t="shared" si="6"/>
        <v>720.6421246875001</v>
      </c>
      <c r="P24" s="159">
        <f t="shared" si="5"/>
        <v>49.699456875</v>
      </c>
      <c r="Q24" s="11"/>
    </row>
    <row r="25" spans="1:17" ht="12.75">
      <c r="A25" t="str">
        <f>'FY2020'!A25</f>
        <v>Pam Guyette</v>
      </c>
      <c r="B25" s="6">
        <f>'FY2020'!B25</f>
        <v>12</v>
      </c>
      <c r="C25" s="47">
        <v>28</v>
      </c>
      <c r="D25" s="8">
        <f>'FY2020'!D25</f>
        <v>22.41</v>
      </c>
      <c r="E25" s="8">
        <f>(D25*1)*0.025+D25</f>
        <v>22.97025</v>
      </c>
      <c r="F25" s="8">
        <f>(E25*5.6*261)</f>
        <v>33573.3174</v>
      </c>
      <c r="G25" s="8" t="str">
        <f>IF(B25&gt;=25,"1000",IF(B25&gt;=20,"750",IF(B25&gt;=15,"500",IF(B25&gt;=10,"250","0"))))</f>
        <v>250</v>
      </c>
      <c r="H25" s="41"/>
      <c r="I25" s="8">
        <f>F25+G25+H25</f>
        <v>33823.3174</v>
      </c>
      <c r="J25" s="8">
        <f>E25</f>
        <v>22.97025</v>
      </c>
      <c r="K25" s="8">
        <f>'FY2020'!K25</f>
        <v>32754.456</v>
      </c>
      <c r="L25" s="158">
        <f>(J25-D25)/D25</f>
        <v>0.024999999999999994</v>
      </c>
      <c r="M25" s="158">
        <f>(E25-D25)/D25</f>
        <v>0.024999999999999994</v>
      </c>
      <c r="N25" s="11" t="s">
        <v>17</v>
      </c>
      <c r="O25" s="159">
        <f t="shared" si="6"/>
        <v>490.4381023</v>
      </c>
      <c r="P25" s="159">
        <f t="shared" si="5"/>
        <v>33.8233174</v>
      </c>
      <c r="Q25" s="11"/>
    </row>
    <row r="26" spans="1:17" ht="12.75">
      <c r="A26" s="15" t="str">
        <f>'FY2020'!A26</f>
        <v>Sherry Clark</v>
      </c>
      <c r="B26" s="16">
        <f>'FY2020'!B26</f>
        <v>18</v>
      </c>
      <c r="C26" s="47">
        <v>40</v>
      </c>
      <c r="D26" s="8">
        <f>'FY2020'!D26</f>
        <v>20.17</v>
      </c>
      <c r="E26" s="8">
        <f>(D26*1)*0.025+D26</f>
        <v>20.67425</v>
      </c>
      <c r="F26" s="8">
        <f>E26*8*261</f>
        <v>43167.834</v>
      </c>
      <c r="G26" s="8" t="str">
        <f>IF(B26&gt;=25,"1000",IF(B26&gt;=20,"750",IF(B26&gt;=15,"500",IF(B26&gt;=10,"250","0"))))</f>
        <v>500</v>
      </c>
      <c r="H26" s="42"/>
      <c r="I26" s="8">
        <f>F26+G26+H26</f>
        <v>43667.834</v>
      </c>
      <c r="J26" s="8">
        <f>I26/8/261</f>
        <v>20.913713601532567</v>
      </c>
      <c r="K26" s="13">
        <f>'FY2020'!K26</f>
        <v>42614.96000000001</v>
      </c>
      <c r="L26" s="158">
        <f>(J26-D26)/D26</f>
        <v>0.036872265817182226</v>
      </c>
      <c r="M26" s="158">
        <f>(E26-D26)/D26</f>
        <v>0.024999999999999946</v>
      </c>
      <c r="N26" s="17" t="s">
        <v>17</v>
      </c>
      <c r="O26" s="160">
        <f t="shared" si="6"/>
        <v>633.1835930000001</v>
      </c>
      <c r="P26" s="159">
        <f t="shared" si="5"/>
        <v>43.667834000000006</v>
      </c>
      <c r="Q26" s="11"/>
    </row>
    <row r="27" spans="1:17" ht="12.75">
      <c r="A27" s="35" t="s">
        <v>92</v>
      </c>
      <c r="B27" s="31"/>
      <c r="C27" s="49" t="s">
        <v>91</v>
      </c>
      <c r="D27" s="8">
        <f>'FY2020'!D27</f>
        <v>7500</v>
      </c>
      <c r="E27" s="8"/>
      <c r="F27" s="32">
        <v>7500</v>
      </c>
      <c r="G27" s="8"/>
      <c r="H27" s="43"/>
      <c r="I27" s="32">
        <f>F27</f>
        <v>7500</v>
      </c>
      <c r="J27" s="8"/>
      <c r="K27" s="32">
        <v>7500</v>
      </c>
      <c r="L27" s="158"/>
      <c r="M27" s="158"/>
      <c r="N27" s="33" t="s">
        <v>17</v>
      </c>
      <c r="O27" s="161">
        <f t="shared" si="6"/>
        <v>108.75</v>
      </c>
      <c r="P27" s="159">
        <f t="shared" si="5"/>
        <v>7.5</v>
      </c>
      <c r="Q27" s="11"/>
    </row>
    <row r="28" spans="1:17" ht="12.75">
      <c r="A28" s="35" t="s">
        <v>45</v>
      </c>
      <c r="B28" s="31"/>
      <c r="C28" s="49"/>
      <c r="D28" s="8">
        <v>16464.01</v>
      </c>
      <c r="E28" s="8"/>
      <c r="F28" s="32">
        <v>0</v>
      </c>
      <c r="G28" s="8"/>
      <c r="H28" s="43"/>
      <c r="I28" s="162">
        <f>F28</f>
        <v>0</v>
      </c>
      <c r="J28" s="8"/>
      <c r="K28" s="162">
        <f>'FY2020'!K28</f>
        <v>0</v>
      </c>
      <c r="L28" s="158"/>
      <c r="M28" s="158"/>
      <c r="N28" s="33" t="s">
        <v>17</v>
      </c>
      <c r="O28" s="161">
        <f t="shared" si="6"/>
        <v>0</v>
      </c>
      <c r="P28" s="159">
        <f t="shared" si="5"/>
        <v>0</v>
      </c>
      <c r="Q28" s="11"/>
    </row>
    <row r="29" spans="1:17" ht="12.75">
      <c r="A29" s="30" t="s">
        <v>66</v>
      </c>
      <c r="B29" s="31">
        <f>'FY2020'!B29</f>
        <v>2</v>
      </c>
      <c r="C29" s="181">
        <v>18.5</v>
      </c>
      <c r="D29" s="32">
        <f>'FY2020'!D29</f>
        <v>19.48</v>
      </c>
      <c r="E29" s="8">
        <f>(D29*1)*0.025+D29</f>
        <v>19.967</v>
      </c>
      <c r="F29" s="8">
        <f>E29*3.7*261</f>
        <v>19282.1319</v>
      </c>
      <c r="G29" s="8" t="str">
        <f>IF(B29&gt;=25,"1000",IF(B29&gt;=20,"750",IF(B29&gt;=15,"500",IF(B29&gt;=10,"250","0"))))</f>
        <v>0</v>
      </c>
      <c r="H29" s="43"/>
      <c r="I29" s="32">
        <f>F29+G29+H29</f>
        <v>19282.1319</v>
      </c>
      <c r="J29" s="8">
        <f>I29/3.7/261</f>
        <v>19.967</v>
      </c>
      <c r="K29" s="32">
        <f>'FY2020'!K29</f>
        <v>18811.836000000003</v>
      </c>
      <c r="L29" s="158">
        <f>(J29-D29)/D29</f>
        <v>0.024999999999999915</v>
      </c>
      <c r="M29" s="158">
        <f>(E29-D29)/D29</f>
        <v>0.024999999999999915</v>
      </c>
      <c r="N29" s="33" t="s">
        <v>17</v>
      </c>
      <c r="O29" s="161">
        <f t="shared" si="6"/>
        <v>279.59091255000004</v>
      </c>
      <c r="P29" s="159">
        <f t="shared" si="5"/>
        <v>19.2821319</v>
      </c>
      <c r="Q29" s="11"/>
    </row>
    <row r="30" spans="1:17" ht="12.75">
      <c r="A30" s="35" t="s">
        <v>95</v>
      </c>
      <c r="B30" s="31"/>
      <c r="C30" s="49" t="s">
        <v>97</v>
      </c>
      <c r="D30" s="32">
        <f>'FY2020'!D30</f>
        <v>13.66</v>
      </c>
      <c r="E30" s="8">
        <f>(D30*1)*0.025+D30</f>
        <v>14.0015</v>
      </c>
      <c r="F30" s="8">
        <f>SUM(166*E30)</f>
        <v>2324.249</v>
      </c>
      <c r="G30" s="32"/>
      <c r="H30" s="43"/>
      <c r="I30" s="32">
        <f>F30+G30+H30</f>
        <v>2324.249</v>
      </c>
      <c r="J30" s="8">
        <f>E30</f>
        <v>14.0015</v>
      </c>
      <c r="K30" s="32">
        <f>'FY2020'!K30</f>
        <v>2158</v>
      </c>
      <c r="L30" s="158">
        <f>(J30-D30)/D30</f>
        <v>0.024999999999999994</v>
      </c>
      <c r="M30" s="158">
        <f>(E30-D30)/D30</f>
        <v>0.024999999999999994</v>
      </c>
      <c r="N30" s="33" t="s">
        <v>17</v>
      </c>
      <c r="O30" s="161">
        <f t="shared" si="6"/>
        <v>33.7016105</v>
      </c>
      <c r="P30" s="159">
        <f t="shared" si="5"/>
        <v>2.324249</v>
      </c>
      <c r="Q30" s="11"/>
    </row>
    <row r="31" spans="1:17" ht="12.75">
      <c r="A31" s="35" t="s">
        <v>42</v>
      </c>
      <c r="B31" s="31"/>
      <c r="C31" s="48"/>
      <c r="D31" s="163"/>
      <c r="E31" s="163"/>
      <c r="F31" s="32">
        <v>3350</v>
      </c>
      <c r="G31" s="32"/>
      <c r="H31" s="43"/>
      <c r="I31" s="32">
        <f>F31+G31+H31</f>
        <v>3350</v>
      </c>
      <c r="J31" s="32"/>
      <c r="K31" s="32">
        <f>'FY2020'!K31</f>
        <v>3981</v>
      </c>
      <c r="L31" s="158"/>
      <c r="M31" s="164"/>
      <c r="N31" s="33" t="s">
        <v>17</v>
      </c>
      <c r="O31" s="161">
        <f t="shared" si="6"/>
        <v>48.575</v>
      </c>
      <c r="P31" s="159">
        <f t="shared" si="5"/>
        <v>3.35</v>
      </c>
      <c r="Q31" s="11"/>
    </row>
    <row r="32" spans="1:17" ht="12.75">
      <c r="A32" s="35" t="s">
        <v>43</v>
      </c>
      <c r="B32" s="31"/>
      <c r="C32" s="48"/>
      <c r="D32" s="163"/>
      <c r="E32" s="163"/>
      <c r="F32" s="32">
        <v>55000</v>
      </c>
      <c r="G32" s="32"/>
      <c r="H32" s="43"/>
      <c r="I32" s="32">
        <f>F32+G32+H32</f>
        <v>55000</v>
      </c>
      <c r="J32" s="32"/>
      <c r="K32" s="32">
        <f>'FY2020'!K32</f>
        <v>55000</v>
      </c>
      <c r="L32" s="158"/>
      <c r="M32" s="164"/>
      <c r="N32" s="33" t="s">
        <v>17</v>
      </c>
      <c r="O32" s="161">
        <f t="shared" si="6"/>
        <v>797.5</v>
      </c>
      <c r="P32" s="159">
        <f t="shared" si="5"/>
        <v>55</v>
      </c>
      <c r="Q32" s="11"/>
    </row>
    <row r="33" spans="1:17" ht="13.5" thickBot="1">
      <c r="A33" s="144" t="s">
        <v>37</v>
      </c>
      <c r="B33" s="145"/>
      <c r="C33" s="146"/>
      <c r="D33" s="165"/>
      <c r="E33" s="165"/>
      <c r="F33" s="147">
        <v>52348.65</v>
      </c>
      <c r="G33" s="147"/>
      <c r="H33" s="148"/>
      <c r="I33" s="147">
        <f>F33+G33+H33</f>
        <v>52348.65</v>
      </c>
      <c r="J33" s="147"/>
      <c r="K33" s="147">
        <f>'FY2020'!K33</f>
        <v>51406</v>
      </c>
      <c r="L33" s="166"/>
      <c r="M33" s="167"/>
      <c r="N33" s="149" t="s">
        <v>17</v>
      </c>
      <c r="O33" s="168">
        <f t="shared" si="6"/>
        <v>759.055425</v>
      </c>
      <c r="P33" s="169">
        <f t="shared" si="5"/>
        <v>52.34865</v>
      </c>
      <c r="Q33" s="11"/>
    </row>
    <row r="34" spans="1:17" ht="12.75">
      <c r="A34" s="19" t="s">
        <v>24</v>
      </c>
      <c r="B34" s="7"/>
      <c r="C34" s="47"/>
      <c r="D34" s="8"/>
      <c r="E34" s="8"/>
      <c r="F34" s="8">
        <f>SUM(F5:F33)-F32</f>
        <v>836673.7223372223</v>
      </c>
      <c r="G34" s="13"/>
      <c r="H34" s="42"/>
      <c r="I34" s="8">
        <f>SUM(I5:I33)-I32</f>
        <v>844673.7223372223</v>
      </c>
      <c r="J34" s="8"/>
      <c r="K34" s="8">
        <f>SUM(K5:K33)-K32</f>
        <v>819069.3328222223</v>
      </c>
      <c r="L34" s="158"/>
      <c r="M34" s="158"/>
      <c r="N34" s="11"/>
      <c r="O34" s="8">
        <f>SUM(O5:O33)</f>
        <v>11142.475501889723</v>
      </c>
      <c r="P34" s="8">
        <f>SUM(P5:P33)</f>
        <v>899.6737223372222</v>
      </c>
      <c r="Q34" s="11"/>
    </row>
    <row r="35" spans="2:16" ht="13.5" thickBot="1">
      <c r="B35" s="9"/>
      <c r="C35" s="47"/>
      <c r="G35" s="8"/>
      <c r="H35" s="11"/>
      <c r="L35" s="10"/>
      <c r="M35" s="10"/>
      <c r="N35" s="11"/>
      <c r="O35" s="4"/>
      <c r="P35" s="51"/>
    </row>
    <row r="36" spans="1:16" ht="12.75">
      <c r="A36" t="s">
        <v>25</v>
      </c>
      <c r="B36" s="7">
        <f>J14*1.5*100</f>
        <v>3974.4375</v>
      </c>
      <c r="C36" s="50" t="s">
        <v>47</v>
      </c>
      <c r="D36" s="5" t="s">
        <v>108</v>
      </c>
      <c r="E36" s="5"/>
      <c r="F36" s="25"/>
      <c r="G36" s="8"/>
      <c r="H36" s="11"/>
      <c r="L36" s="8"/>
      <c r="M36" s="52"/>
      <c r="N36" s="53"/>
      <c r="O36" s="54" t="s">
        <v>110</v>
      </c>
      <c r="P36" s="55">
        <f>(I34-K34)</f>
        <v>25604.389515000046</v>
      </c>
    </row>
    <row r="37" spans="1:16" ht="13.5" thickBot="1">
      <c r="A37" t="s">
        <v>26</v>
      </c>
      <c r="B37" s="66">
        <f>(J13)*8*11</f>
        <v>2898.779593869732</v>
      </c>
      <c r="C37" s="47" t="s">
        <v>48</v>
      </c>
      <c r="D37" s="9">
        <f>I26+I25+(0.9*I24)+(0.9*I23)</f>
        <v>186120.6625875</v>
      </c>
      <c r="E37" s="9"/>
      <c r="F37" s="21" t="s">
        <v>50</v>
      </c>
      <c r="G37" s="8"/>
      <c r="H37" s="11"/>
      <c r="L37" s="8"/>
      <c r="M37" s="56"/>
      <c r="N37" s="44"/>
      <c r="O37" s="44"/>
      <c r="P37" s="57"/>
    </row>
    <row r="38" spans="1:16" ht="12.75">
      <c r="A38" s="19" t="s">
        <v>1</v>
      </c>
      <c r="B38" s="22">
        <f>SUM(B36:B37)</f>
        <v>6873.217093869732</v>
      </c>
      <c r="C38" s="47" t="s">
        <v>29</v>
      </c>
      <c r="D38" s="9">
        <f>(0.67*((0.9*I5)+I6+I7+I8+I9))+((I6+I7+I8+I9)*0.05)</f>
        <v>159448.411566</v>
      </c>
      <c r="E38" s="9"/>
      <c r="F38" s="29" t="s">
        <v>68</v>
      </c>
      <c r="G38" s="8"/>
      <c r="H38" s="11"/>
      <c r="L38" s="10"/>
      <c r="M38" s="186" t="s">
        <v>112</v>
      </c>
      <c r="N38" s="187"/>
      <c r="O38" s="187"/>
      <c r="P38" s="129">
        <f>P34-P39</f>
        <v>779.8568907088697</v>
      </c>
    </row>
    <row r="39" spans="1:16" ht="12.75">
      <c r="A39" s="14"/>
      <c r="B39" s="7"/>
      <c r="C39" s="47" t="s">
        <v>49</v>
      </c>
      <c r="D39" s="9">
        <f>((0.9*I5)*0.33)+(0.33*(I6+I7+I8+I9))+((I6+I7+I8+I9)*0.08)</f>
        <v>87889.43867399999</v>
      </c>
      <c r="E39" s="9"/>
      <c r="F39" s="29" t="s">
        <v>69</v>
      </c>
      <c r="G39" s="8"/>
      <c r="H39" s="11"/>
      <c r="L39" s="8"/>
      <c r="M39" s="58"/>
      <c r="N39" s="187" t="s">
        <v>71</v>
      </c>
      <c r="O39" s="187"/>
      <c r="P39" s="133">
        <f>P19+P20+P21</f>
        <v>119.8168316283525</v>
      </c>
    </row>
    <row r="40" spans="1:16" ht="12.75">
      <c r="A40" s="19"/>
      <c r="B40" s="7"/>
      <c r="C40" s="47" t="s">
        <v>30</v>
      </c>
      <c r="D40" s="9">
        <f>I10+(0.1*I5)</f>
        <v>21313.0922</v>
      </c>
      <c r="E40" s="9"/>
      <c r="F40" s="21" t="s">
        <v>70</v>
      </c>
      <c r="G40" s="8"/>
      <c r="H40" s="11"/>
      <c r="L40" s="8"/>
      <c r="M40" s="56"/>
      <c r="N40" s="185" t="s">
        <v>73</v>
      </c>
      <c r="O40" s="188"/>
      <c r="P40" s="59">
        <f>150000*0.001</f>
        <v>150</v>
      </c>
    </row>
    <row r="41" spans="1:16" ht="12.75">
      <c r="A41" s="19"/>
      <c r="B41" s="7"/>
      <c r="C41" s="47" t="s">
        <v>31</v>
      </c>
      <c r="D41" s="9">
        <f>I13+I14+I15+I16</f>
        <v>173210.30909386973</v>
      </c>
      <c r="E41" s="9"/>
      <c r="F41" s="21" t="s">
        <v>32</v>
      </c>
      <c r="G41" s="8"/>
      <c r="H41" s="11"/>
      <c r="L41" s="8"/>
      <c r="M41" s="60"/>
      <c r="N41" s="61"/>
      <c r="O41" s="44" t="s">
        <v>27</v>
      </c>
      <c r="P41" s="134">
        <f>SUM(P38:P40)</f>
        <v>1049.6737223372222</v>
      </c>
    </row>
    <row r="42" spans="1:16" ht="12.75">
      <c r="A42" s="23" t="s">
        <v>28</v>
      </c>
      <c r="B42" s="7">
        <f>(I6+I7+I8+I9)*0.13</f>
        <v>21963.160439999996</v>
      </c>
      <c r="C42" s="47" t="s">
        <v>33</v>
      </c>
      <c r="D42" s="18">
        <f>I19+I20+I21+(0.1*I23)+(0.1*I24)</f>
        <v>131886.7773158525</v>
      </c>
      <c r="E42" s="18"/>
      <c r="F42" s="21" t="s">
        <v>51</v>
      </c>
      <c r="G42" s="8"/>
      <c r="H42" s="11"/>
      <c r="L42" s="8"/>
      <c r="M42" s="63"/>
      <c r="N42" s="44"/>
      <c r="O42" s="44"/>
      <c r="P42" s="64"/>
    </row>
    <row r="43" spans="1:16" ht="12.75">
      <c r="A43" s="23"/>
      <c r="B43" s="22"/>
      <c r="C43" s="47" t="s">
        <v>46</v>
      </c>
      <c r="D43" s="18">
        <f>I27+I28</f>
        <v>7500</v>
      </c>
      <c r="E43" s="18"/>
      <c r="F43" s="21" t="s">
        <v>65</v>
      </c>
      <c r="G43" s="8"/>
      <c r="H43" s="11"/>
      <c r="L43" s="8"/>
      <c r="M43" s="63"/>
      <c r="N43" s="44"/>
      <c r="O43" s="44"/>
      <c r="P43" s="57"/>
    </row>
    <row r="44" spans="1:16" ht="12.75">
      <c r="A44" s="19"/>
      <c r="B44" s="7"/>
      <c r="C44" s="47" t="s">
        <v>40</v>
      </c>
      <c r="D44" s="9">
        <f>SUM(I29:I30)</f>
        <v>21606.3809</v>
      </c>
      <c r="E44" s="9"/>
      <c r="F44" s="21" t="s">
        <v>67</v>
      </c>
      <c r="G44" s="8"/>
      <c r="H44" s="11"/>
      <c r="L44" s="8"/>
      <c r="M44" s="60"/>
      <c r="N44" s="61" t="s">
        <v>53</v>
      </c>
      <c r="O44" s="61"/>
      <c r="P44" s="64">
        <f>SUM(O34-O44)</f>
        <v>11142.475501889723</v>
      </c>
    </row>
    <row r="45" spans="2:16" ht="12.75">
      <c r="B45" s="9"/>
      <c r="C45" s="47" t="s">
        <v>104</v>
      </c>
      <c r="D45" s="9">
        <f>I31</f>
        <v>3350</v>
      </c>
      <c r="E45" s="9"/>
      <c r="F45" s="21" t="s">
        <v>99</v>
      </c>
      <c r="G45" s="8"/>
      <c r="H45" s="8"/>
      <c r="I45" s="69"/>
      <c r="J45" s="69"/>
      <c r="K45" s="70"/>
      <c r="L45" s="70"/>
      <c r="M45" s="60"/>
      <c r="N45" s="61" t="s">
        <v>52</v>
      </c>
      <c r="O45" s="61"/>
      <c r="P45" s="62">
        <f>O19+O20+O21</f>
        <v>831.8625296111112</v>
      </c>
    </row>
    <row r="46" spans="2:16" ht="13.5" thickBot="1">
      <c r="B46" s="9"/>
      <c r="C46" s="151" t="s">
        <v>103</v>
      </c>
      <c r="D46" s="150">
        <f>I33</f>
        <v>52348.65</v>
      </c>
      <c r="E46" s="44"/>
      <c r="F46" s="178" t="s">
        <v>105</v>
      </c>
      <c r="G46" s="8"/>
      <c r="H46" s="8"/>
      <c r="I46" s="7"/>
      <c r="J46" s="7"/>
      <c r="K46" s="12"/>
      <c r="L46" s="20"/>
      <c r="M46" s="65"/>
      <c r="N46" s="66"/>
      <c r="O46" s="66" t="s">
        <v>27</v>
      </c>
      <c r="P46" s="67">
        <f>SUM(P44+P45)</f>
        <v>11974.338031500834</v>
      </c>
    </row>
    <row r="47" spans="1:16" ht="12.75">
      <c r="A47" s="24"/>
      <c r="B47" s="24"/>
      <c r="C47" s="137" t="s">
        <v>34</v>
      </c>
      <c r="D47" s="44">
        <f>SUM(D37:D46)</f>
        <v>844673.7223372222</v>
      </c>
      <c r="E47" s="7"/>
      <c r="F47" s="14" t="s">
        <v>120</v>
      </c>
      <c r="G47" s="13">
        <f>38648.65*1.025</f>
        <v>39614.86625</v>
      </c>
      <c r="H47" s="5"/>
      <c r="I47" s="25"/>
      <c r="J47" s="25"/>
      <c r="K47" s="68"/>
      <c r="L47" s="26"/>
      <c r="M47" s="26"/>
      <c r="N47" s="5"/>
      <c r="O47" s="27"/>
      <c r="P47" s="28"/>
    </row>
    <row r="48" spans="2:16" ht="12.75">
      <c r="B48" s="9"/>
      <c r="C48" s="47"/>
      <c r="D48" s="7"/>
      <c r="E48" s="7"/>
      <c r="F48" s="7"/>
      <c r="G48" s="8"/>
      <c r="H48" s="8"/>
      <c r="I48" s="7"/>
      <c r="J48" s="7"/>
      <c r="K48" s="51"/>
      <c r="L48" s="20"/>
      <c r="M48" s="20"/>
      <c r="N48" s="8"/>
      <c r="O48" s="27"/>
      <c r="P48" s="9"/>
    </row>
  </sheetData>
  <sheetProtection/>
  <mergeCells count="3">
    <mergeCell ref="M38:O38"/>
    <mergeCell ref="N39:O39"/>
    <mergeCell ref="N40:O40"/>
  </mergeCells>
  <printOptions gridLines="1" horizontalCentered="1" verticalCentered="1"/>
  <pageMargins left="0.25" right="0" top="0.75" bottom="0.25" header="0.5" footer="0.5"/>
  <pageSetup horizontalDpi="600" verticalDpi="600" orientation="landscape" paperSize="5" scale="90" r:id="rId1"/>
  <headerFooter alignWithMargins="0">
    <oddHeader>&amp;LSalary FY 2019 2.5%
&amp;R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Dean</dc:creator>
  <cp:keywords/>
  <dc:description/>
  <cp:lastModifiedBy>twnadmin</cp:lastModifiedBy>
  <cp:lastPrinted>2018-12-18T21:39:33Z</cp:lastPrinted>
  <dcterms:created xsi:type="dcterms:W3CDTF">2001-02-17T15:43:16Z</dcterms:created>
  <dcterms:modified xsi:type="dcterms:W3CDTF">2020-02-06T19:43:58Z</dcterms:modified>
  <cp:category/>
  <cp:version/>
  <cp:contentType/>
  <cp:contentStatus/>
</cp:coreProperties>
</file>